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Ex1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2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3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7.xml" ContentType="application/vnd.openxmlformats-officedocument.drawingml.chartshapes+xml"/>
  <Override PartName="/xl/charts/chart1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univpecs.sharepoint.com/sites/NovaTerra/Megosztott dokumentumok/Pénzügy/"/>
    </mc:Choice>
  </mc:AlternateContent>
  <xr:revisionPtr revIDLastSave="7624" documentId="13_ncr:1_{418B1336-6D79-4608-9E27-C05E571E7B08}" xr6:coauthVersionLast="47" xr6:coauthVersionMax="47" xr10:uidLastSave="{2B42E9BD-6B41-4498-80D8-D2CB4AD72ADD}"/>
  <bookViews>
    <workbookView xWindow="-120" yWindow="-120" windowWidth="29040" windowHeight="15990" tabRatio="781" firstSheet="9" activeTab="9" xr2:uid="{446D8BDF-634B-49A4-88F0-B6BFA383D690}"/>
  </bookViews>
  <sheets>
    <sheet name="Kimutatások" sheetId="7" r:id="rId1"/>
    <sheet name="Összefoglaló" sheetId="11" r:id="rId2"/>
    <sheet name="Költségek&amp;Terv" sheetId="9" r:id="rId3"/>
    <sheet name="Eszközök&amp;Écs" sheetId="12" r:id="rId4"/>
    <sheet name="Marketing terv" sheetId="13" r:id="rId5"/>
    <sheet name="Támogatás" sheetId="15" r:id="rId6"/>
    <sheet name="Befektetői tábla" sheetId="17" r:id="rId7"/>
    <sheet name="Arányok" sheetId="14" r:id="rId8"/>
    <sheet name="CF" sheetId="8" r:id="rId9"/>
    <sheet name="diagramok" sheetId="16" r:id="rId10"/>
  </sheets>
  <definedNames>
    <definedName name="_xlchart.v1.0" hidden="1">Kimutatások!$A$56:$A$58</definedName>
    <definedName name="_xlchart.v1.1" hidden="1">Kimutatások!$B$56:$B$58</definedName>
    <definedName name="_xlchart.v1.2" hidden="1">Kimutatások!$A$56:$A$58</definedName>
    <definedName name="_xlchart.v1.3" hidden="1">Kimutatások!$C$56:$C$58</definedName>
    <definedName name="_xlchart.v1.4" hidden="1">Kimutatások!$A$56:$A$58</definedName>
    <definedName name="_xlchart.v1.5" hidden="1">Kimutatások!$D$56:$D$58</definedName>
    <definedName name="Ct">#REF!</definedName>
    <definedName name="evek1">#REF!</definedName>
    <definedName name="evek2">#REF!</definedName>
    <definedName name="evek3">#REF!</definedName>
    <definedName name="evek4">#REF!</definedName>
    <definedName name="evek5">#REF!</definedName>
    <definedName name="K0a">#REF!</definedName>
    <definedName name="Kt_1">#REF!</definedName>
    <definedName name="na">#REF!</definedName>
    <definedName name="reva">#REF!</definedName>
    <definedName name="Tt">#REF!</definedName>
    <definedName name="Z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7" l="1"/>
  <c r="M19" i="7"/>
  <c r="M20" i="7"/>
  <c r="C22" i="17"/>
  <c r="G7" i="8"/>
  <c r="H7" i="8"/>
  <c r="I7" i="8"/>
  <c r="G8" i="8"/>
  <c r="H8" i="8"/>
  <c r="I8" i="8"/>
  <c r="G3" i="8"/>
  <c r="H3" i="8"/>
  <c r="I3" i="8"/>
  <c r="B24" i="8"/>
  <c r="C24" i="8"/>
  <c r="C29" i="8" s="1"/>
  <c r="D24" i="8"/>
  <c r="D29" i="8" s="1"/>
  <c r="B15" i="8"/>
  <c r="B29" i="8" s="1"/>
  <c r="C15" i="8"/>
  <c r="D15" i="8"/>
  <c r="D10" i="8"/>
  <c r="D8" i="8" s="1"/>
  <c r="B8" i="8"/>
  <c r="C8" i="8"/>
  <c r="B6" i="8"/>
  <c r="C6" i="8"/>
  <c r="D6" i="8"/>
  <c r="D4" i="8" s="1"/>
  <c r="D14" i="8" s="1"/>
  <c r="B4" i="8"/>
  <c r="B14" i="8" s="1"/>
  <c r="C4" i="8"/>
  <c r="C14" i="8" s="1"/>
  <c r="N10" i="15"/>
  <c r="M7" i="15"/>
  <c r="G15" i="7" s="1"/>
  <c r="N8" i="15"/>
  <c r="N12" i="15" s="1"/>
  <c r="N9" i="15"/>
  <c r="N11" i="15"/>
  <c r="N7" i="15"/>
  <c r="D22" i="17"/>
  <c r="G9" i="17"/>
  <c r="G34" i="17"/>
  <c r="F7" i="17"/>
  <c r="G35" i="17" s="1"/>
  <c r="G33" i="17"/>
  <c r="B20" i="17"/>
  <c r="B22" i="17" s="1"/>
  <c r="C28" i="17"/>
  <c r="C30" i="17" s="1"/>
  <c r="D28" i="17"/>
  <c r="D30" i="17" s="1"/>
  <c r="E28" i="17"/>
  <c r="E30" i="17" s="1"/>
  <c r="F28" i="17"/>
  <c r="F30" i="17" s="1"/>
  <c r="B28" i="17"/>
  <c r="B30" i="17" s="1"/>
  <c r="C20" i="17"/>
  <c r="D20" i="17"/>
  <c r="E20" i="17"/>
  <c r="E22" i="17" s="1"/>
  <c r="F20" i="17"/>
  <c r="F22" i="17" s="1"/>
  <c r="C7" i="17"/>
  <c r="D7" i="17"/>
  <c r="E7" i="17"/>
  <c r="B7" i="17"/>
  <c r="B8" i="17" s="1"/>
  <c r="E182" i="11"/>
  <c r="G134" i="11"/>
  <c r="G95" i="11"/>
  <c r="K33" i="9"/>
  <c r="I8" i="7"/>
  <c r="M11" i="7"/>
  <c r="N11" i="7"/>
  <c r="O11" i="7"/>
  <c r="C58" i="7"/>
  <c r="D58" i="7"/>
  <c r="B58" i="7"/>
  <c r="AR39" i="9"/>
  <c r="AR73" i="9"/>
  <c r="AR50" i="9"/>
  <c r="AR41" i="9"/>
  <c r="AQ43" i="9"/>
  <c r="AQ44" i="9"/>
  <c r="AQ45" i="9"/>
  <c r="AQ46" i="9"/>
  <c r="AQ47" i="9"/>
  <c r="AQ48" i="9"/>
  <c r="AQ42" i="9"/>
  <c r="AQ41" i="9"/>
  <c r="AQ54" i="9"/>
  <c r="AQ55" i="9"/>
  <c r="AQ56" i="9"/>
  <c r="AQ57" i="9"/>
  <c r="AQ53" i="9"/>
  <c r="AQ52" i="9"/>
  <c r="AQ61" i="9"/>
  <c r="AQ62" i="9"/>
  <c r="AQ63" i="9"/>
  <c r="AQ64" i="9"/>
  <c r="AQ65" i="9"/>
  <c r="AQ60" i="9"/>
  <c r="AQ59" i="9"/>
  <c r="AQ69" i="9"/>
  <c r="AQ70" i="9"/>
  <c r="AQ71" i="9"/>
  <c r="AQ68" i="9"/>
  <c r="AQ67" i="9"/>
  <c r="AQ73" i="9"/>
  <c r="AQ75" i="9"/>
  <c r="AQ76" i="9"/>
  <c r="AQ77" i="9"/>
  <c r="AQ78" i="9"/>
  <c r="AQ74" i="9"/>
  <c r="AP39" i="9"/>
  <c r="D116" i="11"/>
  <c r="D117" i="11"/>
  <c r="D118" i="11"/>
  <c r="D119" i="11"/>
  <c r="D120" i="11"/>
  <c r="D115" i="11"/>
  <c r="G116" i="11"/>
  <c r="G115" i="11"/>
  <c r="J102" i="11"/>
  <c r="D103" i="11"/>
  <c r="J151" i="11"/>
  <c r="D151" i="11" s="1"/>
  <c r="J152" i="11"/>
  <c r="D152" i="11" s="1"/>
  <c r="J153" i="11"/>
  <c r="D153" i="11" s="1"/>
  <c r="J154" i="11"/>
  <c r="D154" i="11" s="1"/>
  <c r="J155" i="11"/>
  <c r="D155" i="11" s="1"/>
  <c r="J156" i="11"/>
  <c r="D156" i="11" s="1"/>
  <c r="F52" i="7"/>
  <c r="E52" i="7"/>
  <c r="F47" i="7"/>
  <c r="E47" i="7"/>
  <c r="F48" i="7"/>
  <c r="E48" i="7"/>
  <c r="B49" i="7"/>
  <c r="C49" i="7"/>
  <c r="D49" i="7"/>
  <c r="G10" i="15"/>
  <c r="I10" i="15" s="1"/>
  <c r="G5" i="15"/>
  <c r="H5" i="15" s="1"/>
  <c r="G4" i="15"/>
  <c r="H4" i="15" s="1"/>
  <c r="G3" i="15"/>
  <c r="H3" i="15" s="1"/>
  <c r="G2" i="15"/>
  <c r="H2" i="15" s="1"/>
  <c r="H6" i="15" s="1"/>
  <c r="G12" i="15" s="1"/>
  <c r="D12" i="15"/>
  <c r="C12" i="15"/>
  <c r="D6" i="7"/>
  <c r="C6" i="7"/>
  <c r="B6" i="7"/>
  <c r="B24" i="7"/>
  <c r="E53" i="12"/>
  <c r="F53" i="12"/>
  <c r="D53" i="12"/>
  <c r="Q43" i="12"/>
  <c r="P43" i="12"/>
  <c r="F23" i="12"/>
  <c r="G23" i="12"/>
  <c r="H23" i="12"/>
  <c r="H17" i="12"/>
  <c r="G17" i="12"/>
  <c r="F17" i="12"/>
  <c r="E17" i="12"/>
  <c r="D17" i="12"/>
  <c r="D10" i="7"/>
  <c r="O6" i="7" s="1"/>
  <c r="E143" i="11"/>
  <c r="G142" i="11"/>
  <c r="G140" i="11"/>
  <c r="F140" i="11"/>
  <c r="G139" i="11"/>
  <c r="F139" i="11"/>
  <c r="E139" i="11"/>
  <c r="E136" i="11"/>
  <c r="F136" i="11"/>
  <c r="H136" i="11"/>
  <c r="I136" i="11"/>
  <c r="G141" i="11"/>
  <c r="G136" i="11" s="1"/>
  <c r="I3" i="7"/>
  <c r="H3" i="7"/>
  <c r="G3" i="7"/>
  <c r="I175" i="11"/>
  <c r="F175" i="11"/>
  <c r="E175" i="11"/>
  <c r="G175" i="11"/>
  <c r="C8" i="14"/>
  <c r="C9" i="14"/>
  <c r="C5" i="14"/>
  <c r="C6" i="14"/>
  <c r="C7" i="14"/>
  <c r="C10" i="14"/>
  <c r="F2" i="13"/>
  <c r="F5" i="13"/>
  <c r="F8" i="13"/>
  <c r="B10" i="14"/>
  <c r="E100" i="11"/>
  <c r="G123" i="11"/>
  <c r="F7" i="13"/>
  <c r="F10" i="13" s="1"/>
  <c r="L5" i="13" s="1"/>
  <c r="H175" i="11"/>
  <c r="F182" i="11"/>
  <c r="G182" i="11"/>
  <c r="H182" i="11"/>
  <c r="I182" i="11"/>
  <c r="H149" i="11"/>
  <c r="I149" i="11"/>
  <c r="G149" i="11"/>
  <c r="W10" i="12"/>
  <c r="V10" i="12"/>
  <c r="V6" i="12"/>
  <c r="AA3" i="12" s="1"/>
  <c r="W9" i="12"/>
  <c r="X9" i="12" s="1"/>
  <c r="N6" i="12"/>
  <c r="O6" i="12"/>
  <c r="P6" i="12" s="1"/>
  <c r="F117" i="11"/>
  <c r="D30" i="12"/>
  <c r="E30" i="12" s="1"/>
  <c r="G30" i="12" s="1"/>
  <c r="F150" i="11"/>
  <c r="O43" i="12"/>
  <c r="N43" i="12"/>
  <c r="P41" i="12"/>
  <c r="Q24" i="12"/>
  <c r="P7" i="12"/>
  <c r="R26" i="12" s="1"/>
  <c r="P10" i="12"/>
  <c r="Q41" i="12" s="1"/>
  <c r="O7" i="12"/>
  <c r="O10" i="12"/>
  <c r="O11" i="12"/>
  <c r="P11" i="12" s="1"/>
  <c r="N7" i="12"/>
  <c r="N8" i="12"/>
  <c r="O8" i="12" s="1"/>
  <c r="P8" i="12" s="1"/>
  <c r="N9" i="12"/>
  <c r="O9" i="12" s="1"/>
  <c r="P9" i="12" s="1"/>
  <c r="N10" i="12"/>
  <c r="N11" i="12"/>
  <c r="M11" i="12"/>
  <c r="L11" i="12"/>
  <c r="G146" i="11"/>
  <c r="C21" i="12"/>
  <c r="H22" i="12" s="1"/>
  <c r="C15" i="12"/>
  <c r="E16" i="12" s="1"/>
  <c r="E8" i="12"/>
  <c r="C20" i="12" s="1"/>
  <c r="K50" i="9"/>
  <c r="C72" i="9"/>
  <c r="E101" i="11"/>
  <c r="F101" i="11" s="1"/>
  <c r="G101" i="11" s="1"/>
  <c r="H101" i="11" s="1"/>
  <c r="I101" i="11" s="1"/>
  <c r="E102" i="11"/>
  <c r="F102" i="11" s="1"/>
  <c r="G102" i="11" s="1"/>
  <c r="H102" i="11" s="1"/>
  <c r="I102" i="11" s="1"/>
  <c r="C67" i="9"/>
  <c r="C102" i="11"/>
  <c r="C101" i="11"/>
  <c r="C100" i="11"/>
  <c r="B103" i="11"/>
  <c r="E103" i="11" s="1"/>
  <c r="J47" i="9"/>
  <c r="K47" i="9"/>
  <c r="G119" i="11"/>
  <c r="H115" i="11"/>
  <c r="J46" i="9"/>
  <c r="K46" i="9"/>
  <c r="F171" i="11"/>
  <c r="J45" i="9"/>
  <c r="K45" i="9" s="1"/>
  <c r="B104" i="11"/>
  <c r="E104" i="11" s="1"/>
  <c r="F104" i="11" s="1"/>
  <c r="G104" i="11" s="1"/>
  <c r="H104" i="11" s="1"/>
  <c r="I104" i="11" s="1"/>
  <c r="A32" i="9"/>
  <c r="D37" i="9"/>
  <c r="D106" i="11"/>
  <c r="E106" i="11"/>
  <c r="F106" i="11"/>
  <c r="G106" i="11"/>
  <c r="H106" i="11"/>
  <c r="I106" i="11"/>
  <c r="B89" i="11"/>
  <c r="E89" i="11" s="1"/>
  <c r="B88" i="11"/>
  <c r="E88" i="11" s="1"/>
  <c r="B87" i="11"/>
  <c r="B86" i="11"/>
  <c r="E86" i="11" s="1"/>
  <c r="F118" i="11"/>
  <c r="E118" i="11" s="1"/>
  <c r="F120" i="11"/>
  <c r="E120" i="11" s="1"/>
  <c r="F124" i="11"/>
  <c r="E124" i="11" s="1"/>
  <c r="B83" i="11"/>
  <c r="E83" i="11" s="1"/>
  <c r="B82" i="11"/>
  <c r="B22" i="11" s="1"/>
  <c r="H118" i="11"/>
  <c r="I118" i="11" s="1"/>
  <c r="H120" i="11"/>
  <c r="I120" i="11" s="1"/>
  <c r="B80" i="11"/>
  <c r="B79" i="11"/>
  <c r="B78" i="11"/>
  <c r="B77" i="11"/>
  <c r="B17" i="11" s="1"/>
  <c r="B76" i="11"/>
  <c r="B75" i="11"/>
  <c r="B74" i="11"/>
  <c r="B72" i="11"/>
  <c r="E72" i="11" s="1"/>
  <c r="B71" i="11"/>
  <c r="E71" i="11" s="1"/>
  <c r="B70" i="11"/>
  <c r="B10" i="11" s="1"/>
  <c r="B69" i="11"/>
  <c r="B68" i="11"/>
  <c r="H68" i="11" s="1"/>
  <c r="B66" i="11"/>
  <c r="H66" i="11" s="1"/>
  <c r="J71" i="9"/>
  <c r="J72" i="9" s="1"/>
  <c r="J73" i="9" s="1"/>
  <c r="J74" i="9" s="1"/>
  <c r="F76" i="9"/>
  <c r="H124" i="11"/>
  <c r="I124" i="11" s="1"/>
  <c r="H2" i="13" s="1"/>
  <c r="H127" i="11"/>
  <c r="G8" i="13" s="1"/>
  <c r="I127" i="11"/>
  <c r="H8" i="13" s="1"/>
  <c r="H126" i="11"/>
  <c r="I126" i="11" s="1"/>
  <c r="H7" i="13" s="1"/>
  <c r="H125" i="11"/>
  <c r="I125" i="11" s="1"/>
  <c r="H5" i="13" s="1"/>
  <c r="F125" i="11"/>
  <c r="E125" i="11" s="1"/>
  <c r="D5" i="13" s="1"/>
  <c r="F126" i="11"/>
  <c r="E126" i="11" s="1"/>
  <c r="D7" i="13" s="1"/>
  <c r="F127" i="11"/>
  <c r="E127" i="11" s="1"/>
  <c r="D8" i="13" s="1"/>
  <c r="F55" i="9"/>
  <c r="G55" i="9" s="1"/>
  <c r="J180" i="11"/>
  <c r="D180" i="11" s="1"/>
  <c r="I146" i="11"/>
  <c r="H146" i="11"/>
  <c r="I134" i="11"/>
  <c r="H134" i="11"/>
  <c r="F134" i="11"/>
  <c r="E134" i="11"/>
  <c r="J98" i="11"/>
  <c r="D98" i="11" s="1"/>
  <c r="H33" i="11"/>
  <c r="G33" i="11"/>
  <c r="E33" i="11"/>
  <c r="B12" i="9"/>
  <c r="B85" i="11" s="1"/>
  <c r="H85" i="11" s="1"/>
  <c r="D67" i="9"/>
  <c r="E67" i="9"/>
  <c r="F66" i="9"/>
  <c r="AG46" i="9"/>
  <c r="G100" i="9"/>
  <c r="G99" i="9"/>
  <c r="AG45" i="9" s="1"/>
  <c r="G98" i="9"/>
  <c r="G93" i="9"/>
  <c r="G19" i="9"/>
  <c r="H36" i="9"/>
  <c r="G9" i="7" l="1"/>
  <c r="G16" i="7"/>
  <c r="G15" i="8"/>
  <c r="L7" i="15"/>
  <c r="G36" i="17"/>
  <c r="C8" i="17"/>
  <c r="D8" i="17" s="1"/>
  <c r="E8" i="17" s="1"/>
  <c r="F8" i="17" s="1"/>
  <c r="N6" i="7"/>
  <c r="M6" i="7"/>
  <c r="F100" i="11"/>
  <c r="G100" i="11" s="1"/>
  <c r="H100" i="11" s="1"/>
  <c r="B36" i="7"/>
  <c r="G13" i="15"/>
  <c r="E69" i="11"/>
  <c r="B9" i="11"/>
  <c r="E74" i="11"/>
  <c r="B14" i="11"/>
  <c r="I75" i="11"/>
  <c r="B15" i="11"/>
  <c r="E76" i="11"/>
  <c r="B16" i="11"/>
  <c r="F78" i="11"/>
  <c r="B18" i="11"/>
  <c r="E79" i="11"/>
  <c r="B19" i="11"/>
  <c r="H80" i="11"/>
  <c r="B20" i="11"/>
  <c r="D124" i="11"/>
  <c r="D2" i="13"/>
  <c r="E87" i="11"/>
  <c r="B27" i="11"/>
  <c r="F149" i="11"/>
  <c r="F146" i="11" s="1"/>
  <c r="E150" i="11"/>
  <c r="H116" i="11"/>
  <c r="I116" i="11" s="1"/>
  <c r="F116" i="11"/>
  <c r="E116" i="11" s="1"/>
  <c r="L7" i="13"/>
  <c r="L8" i="13"/>
  <c r="L2" i="13"/>
  <c r="X10" i="12"/>
  <c r="Y9" i="12"/>
  <c r="R36" i="12"/>
  <c r="R37" i="12"/>
  <c r="H10" i="13"/>
  <c r="R32" i="12"/>
  <c r="R31" i="12"/>
  <c r="R20" i="12"/>
  <c r="R19" i="12"/>
  <c r="Q19" i="12"/>
  <c r="P18" i="12"/>
  <c r="R18" i="12"/>
  <c r="Q18" i="12"/>
  <c r="I100" i="11"/>
  <c r="J100" i="11" s="1"/>
  <c r="D100" i="11" s="1"/>
  <c r="L10" i="13"/>
  <c r="E99" i="11"/>
  <c r="E97" i="11" s="1"/>
  <c r="I123" i="11"/>
  <c r="B8" i="11"/>
  <c r="Q25" i="12"/>
  <c r="R41" i="12"/>
  <c r="H123" i="11"/>
  <c r="B12" i="11"/>
  <c r="B25" i="11"/>
  <c r="I25" i="11" s="1"/>
  <c r="R24" i="12"/>
  <c r="B11" i="11"/>
  <c r="B29" i="11"/>
  <c r="E8" i="13"/>
  <c r="R25" i="12"/>
  <c r="W6" i="12"/>
  <c r="X6" i="12" s="1"/>
  <c r="Y6" i="12" s="1"/>
  <c r="F123" i="11"/>
  <c r="B28" i="11"/>
  <c r="R27" i="12"/>
  <c r="G2" i="13"/>
  <c r="B26" i="11"/>
  <c r="J182" i="11"/>
  <c r="B6" i="11"/>
  <c r="E2" i="13"/>
  <c r="E123" i="11"/>
  <c r="J123" i="11" s="1"/>
  <c r="G7" i="13"/>
  <c r="G114" i="11"/>
  <c r="G5" i="13"/>
  <c r="B23" i="11"/>
  <c r="E7" i="13"/>
  <c r="D10" i="13"/>
  <c r="J7" i="13" s="1"/>
  <c r="E5" i="13"/>
  <c r="G22" i="12"/>
  <c r="F20" i="12"/>
  <c r="G20" i="12"/>
  <c r="H20" i="12"/>
  <c r="E20" i="12"/>
  <c r="E24" i="12" s="1"/>
  <c r="C103" i="11"/>
  <c r="F103" i="11"/>
  <c r="C104" i="11"/>
  <c r="J136" i="11"/>
  <c r="D16" i="12"/>
  <c r="D24" i="12" s="1"/>
  <c r="H16" i="12"/>
  <c r="H24" i="12" s="1"/>
  <c r="G16" i="12"/>
  <c r="G24" i="12" s="1"/>
  <c r="F16" i="12"/>
  <c r="F24" i="12" s="1"/>
  <c r="F67" i="9"/>
  <c r="H82" i="11"/>
  <c r="I77" i="11"/>
  <c r="F80" i="11"/>
  <c r="G75" i="11"/>
  <c r="H70" i="11"/>
  <c r="F68" i="11"/>
  <c r="F66" i="11"/>
  <c r="H87" i="11"/>
  <c r="F85" i="11"/>
  <c r="I17" i="11"/>
  <c r="F17" i="11"/>
  <c r="G17" i="11"/>
  <c r="H17" i="11"/>
  <c r="E17" i="11"/>
  <c r="H10" i="11"/>
  <c r="E10" i="11"/>
  <c r="F10" i="11"/>
  <c r="I10" i="11"/>
  <c r="G10" i="11"/>
  <c r="H22" i="11"/>
  <c r="E22" i="11"/>
  <c r="F22" i="11"/>
  <c r="I22" i="11"/>
  <c r="G22" i="11"/>
  <c r="G66" i="11"/>
  <c r="I87" i="11"/>
  <c r="G85" i="11"/>
  <c r="I82" i="11"/>
  <c r="G80" i="11"/>
  <c r="E78" i="11"/>
  <c r="H75" i="11"/>
  <c r="I70" i="11"/>
  <c r="G68" i="11"/>
  <c r="B21" i="11"/>
  <c r="I89" i="11"/>
  <c r="G87" i="11"/>
  <c r="E85" i="11"/>
  <c r="G82" i="11"/>
  <c r="E80" i="11"/>
  <c r="H77" i="11"/>
  <c r="F75" i="11"/>
  <c r="I72" i="11"/>
  <c r="G70" i="11"/>
  <c r="E68" i="11"/>
  <c r="H89" i="11"/>
  <c r="F87" i="11"/>
  <c r="F82" i="11"/>
  <c r="I79" i="11"/>
  <c r="G77" i="11"/>
  <c r="E75" i="11"/>
  <c r="H72" i="11"/>
  <c r="F70" i="11"/>
  <c r="G89" i="11"/>
  <c r="E82" i="11"/>
  <c r="H79" i="11"/>
  <c r="F77" i="11"/>
  <c r="I74" i="11"/>
  <c r="G72" i="11"/>
  <c r="E70" i="11"/>
  <c r="F89" i="11"/>
  <c r="I86" i="11"/>
  <c r="G79" i="11"/>
  <c r="E77" i="11"/>
  <c r="H74" i="11"/>
  <c r="F72" i="11"/>
  <c r="I69" i="11"/>
  <c r="H86" i="11"/>
  <c r="F79" i="11"/>
  <c r="I76" i="11"/>
  <c r="G74" i="11"/>
  <c r="H69" i="11"/>
  <c r="I88" i="11"/>
  <c r="G86" i="11"/>
  <c r="I83" i="11"/>
  <c r="H76" i="11"/>
  <c r="F74" i="11"/>
  <c r="I71" i="11"/>
  <c r="G69" i="11"/>
  <c r="H88" i="11"/>
  <c r="F86" i="11"/>
  <c r="H83" i="11"/>
  <c r="I78" i="11"/>
  <c r="G76" i="11"/>
  <c r="H71" i="11"/>
  <c r="F69" i="11"/>
  <c r="E66" i="11"/>
  <c r="G88" i="11"/>
  <c r="G83" i="11"/>
  <c r="H78" i="11"/>
  <c r="F76" i="11"/>
  <c r="G71" i="11"/>
  <c r="I66" i="11"/>
  <c r="F88" i="11"/>
  <c r="I85" i="11"/>
  <c r="F83" i="11"/>
  <c r="I80" i="11"/>
  <c r="G78" i="11"/>
  <c r="F71" i="11"/>
  <c r="I68" i="11"/>
  <c r="J104" i="11"/>
  <c r="D104" i="11" s="1"/>
  <c r="D102" i="11"/>
  <c r="B67" i="11"/>
  <c r="B73" i="11"/>
  <c r="B81" i="11"/>
  <c r="B84" i="11"/>
  <c r="F115" i="11"/>
  <c r="E117" i="11"/>
  <c r="F119" i="11"/>
  <c r="E119" i="11" s="1"/>
  <c r="H119" i="11"/>
  <c r="I119" i="11" s="1"/>
  <c r="J120" i="11"/>
  <c r="J118" i="11"/>
  <c r="J116" i="11"/>
  <c r="H19" i="9"/>
  <c r="AH9" i="9"/>
  <c r="AI9" i="9" s="1"/>
  <c r="AJ9" i="9" s="1"/>
  <c r="AH6" i="9"/>
  <c r="D127" i="11"/>
  <c r="J127" i="11"/>
  <c r="D126" i="11"/>
  <c r="J126" i="11"/>
  <c r="D125" i="11"/>
  <c r="J125" i="11"/>
  <c r="J124" i="11"/>
  <c r="E2" i="11"/>
  <c r="J184" i="11" s="1"/>
  <c r="AG9" i="9"/>
  <c r="AF9" i="9" s="1"/>
  <c r="AH45" i="9"/>
  <c r="AF45" i="9"/>
  <c r="K24" i="9"/>
  <c r="H37" i="9"/>
  <c r="I37" i="9" s="1"/>
  <c r="D95" i="9"/>
  <c r="D109" i="9"/>
  <c r="E107" i="9"/>
  <c r="B91" i="9" s="1"/>
  <c r="E106" i="9"/>
  <c r="B89" i="9" s="1"/>
  <c r="E105" i="9"/>
  <c r="B87" i="9" s="1"/>
  <c r="B107" i="9"/>
  <c r="B109" i="9" s="1"/>
  <c r="F59" i="9"/>
  <c r="G59" i="9" s="1"/>
  <c r="F51" i="9"/>
  <c r="G51" i="9" s="1"/>
  <c r="F47" i="9"/>
  <c r="G47" i="9" s="1"/>
  <c r="G61" i="9" s="1"/>
  <c r="E40" i="9"/>
  <c r="F26" i="9"/>
  <c r="AG8" i="9" s="1"/>
  <c r="F23" i="9"/>
  <c r="I23" i="9"/>
  <c r="I24" i="9" s="1"/>
  <c r="G9" i="8" l="1"/>
  <c r="G12" i="8" s="1"/>
  <c r="G17" i="8" s="1"/>
  <c r="G16" i="8"/>
  <c r="O7" i="15"/>
  <c r="M8" i="15" s="1"/>
  <c r="G8" i="7"/>
  <c r="G23" i="9"/>
  <c r="AH11" i="9"/>
  <c r="G14" i="15"/>
  <c r="I13" i="15"/>
  <c r="I14" i="15" s="1"/>
  <c r="G103" i="11"/>
  <c r="F99" i="11"/>
  <c r="F97" i="11" s="1"/>
  <c r="N2" i="13"/>
  <c r="N7" i="13"/>
  <c r="N8" i="13"/>
  <c r="N5" i="13"/>
  <c r="E149" i="11"/>
  <c r="J150" i="11"/>
  <c r="D150" i="11" s="1"/>
  <c r="V21" i="12"/>
  <c r="V20" i="12"/>
  <c r="W20" i="12"/>
  <c r="X20" i="12"/>
  <c r="Y20" i="12"/>
  <c r="W21" i="12"/>
  <c r="X21" i="12"/>
  <c r="Y21" i="12"/>
  <c r="J2" i="13"/>
  <c r="E10" i="13"/>
  <c r="K8" i="13" s="1"/>
  <c r="H114" i="11"/>
  <c r="J5" i="13"/>
  <c r="E25" i="11"/>
  <c r="J8" i="13"/>
  <c r="E115" i="11"/>
  <c r="E114" i="11" s="1"/>
  <c r="F114" i="11"/>
  <c r="H25" i="11"/>
  <c r="G10" i="13"/>
  <c r="M8" i="13" s="1"/>
  <c r="N10" i="13"/>
  <c r="Y10" i="12"/>
  <c r="Z27" i="12"/>
  <c r="Z26" i="12"/>
  <c r="R43" i="12"/>
  <c r="J77" i="11"/>
  <c r="D77" i="11" s="1"/>
  <c r="J82" i="11"/>
  <c r="D82" i="11" s="1"/>
  <c r="G25" i="11"/>
  <c r="J86" i="11"/>
  <c r="D86" i="11" s="1"/>
  <c r="D123" i="11"/>
  <c r="J76" i="11"/>
  <c r="D76" i="11" s="1"/>
  <c r="D136" i="11"/>
  <c r="J134" i="11"/>
  <c r="D134" i="11" s="1"/>
  <c r="B24" i="11"/>
  <c r="G24" i="11" s="1"/>
  <c r="AG6" i="9"/>
  <c r="AF6" i="9" s="1"/>
  <c r="K37" i="9" s="1"/>
  <c r="AI6" i="9"/>
  <c r="AJ6" i="9" s="1"/>
  <c r="F25" i="11"/>
  <c r="J17" i="11"/>
  <c r="D17" i="11" s="1"/>
  <c r="J89" i="11"/>
  <c r="D89" i="11" s="1"/>
  <c r="J79" i="11"/>
  <c r="D79" i="11" s="1"/>
  <c r="J74" i="11"/>
  <c r="D74" i="11" s="1"/>
  <c r="B13" i="11"/>
  <c r="E13" i="11" s="1"/>
  <c r="J88" i="11"/>
  <c r="D88" i="11" s="1"/>
  <c r="J83" i="11"/>
  <c r="D83" i="11" s="1"/>
  <c r="J87" i="11"/>
  <c r="D87" i="11" s="1"/>
  <c r="F19" i="11"/>
  <c r="I19" i="11"/>
  <c r="G19" i="11"/>
  <c r="H19" i="11"/>
  <c r="E19" i="11"/>
  <c r="H27" i="11"/>
  <c r="E27" i="11"/>
  <c r="F27" i="11"/>
  <c r="I27" i="11"/>
  <c r="G27" i="11"/>
  <c r="H12" i="11"/>
  <c r="E12" i="11"/>
  <c r="F12" i="11"/>
  <c r="I12" i="11"/>
  <c r="G12" i="11"/>
  <c r="G73" i="11"/>
  <c r="H73" i="11"/>
  <c r="I73" i="11"/>
  <c r="E73" i="11"/>
  <c r="F73" i="11"/>
  <c r="G28" i="11"/>
  <c r="H28" i="11"/>
  <c r="E28" i="11"/>
  <c r="F28" i="11"/>
  <c r="I28" i="11"/>
  <c r="G26" i="11"/>
  <c r="H26" i="11"/>
  <c r="E26" i="11"/>
  <c r="F26" i="11"/>
  <c r="I26" i="11"/>
  <c r="F6" i="11"/>
  <c r="E6" i="11"/>
  <c r="H6" i="11"/>
  <c r="I6" i="11"/>
  <c r="G6" i="11"/>
  <c r="E67" i="11"/>
  <c r="F67" i="11"/>
  <c r="G67" i="11"/>
  <c r="H67" i="11"/>
  <c r="I67" i="11"/>
  <c r="G14" i="11"/>
  <c r="H14" i="11"/>
  <c r="E14" i="11"/>
  <c r="F14" i="11"/>
  <c r="I14" i="11"/>
  <c r="J75" i="11"/>
  <c r="D75" i="11" s="1"/>
  <c r="J78" i="11"/>
  <c r="D78" i="11" s="1"/>
  <c r="G15" i="11"/>
  <c r="H15" i="11"/>
  <c r="E15" i="11"/>
  <c r="F15" i="11"/>
  <c r="I15" i="11"/>
  <c r="E81" i="11"/>
  <c r="F81" i="11"/>
  <c r="G81" i="11"/>
  <c r="H81" i="11"/>
  <c r="I81" i="11"/>
  <c r="H9" i="11"/>
  <c r="E9" i="11"/>
  <c r="F9" i="11"/>
  <c r="I9" i="11"/>
  <c r="G9" i="11"/>
  <c r="G29" i="11"/>
  <c r="H29" i="11"/>
  <c r="E29" i="11"/>
  <c r="I29" i="11"/>
  <c r="F29" i="11"/>
  <c r="G84" i="11"/>
  <c r="E84" i="11"/>
  <c r="F84" i="11"/>
  <c r="H84" i="11"/>
  <c r="I84" i="11"/>
  <c r="H23" i="11"/>
  <c r="E23" i="11"/>
  <c r="F23" i="11"/>
  <c r="I23" i="11"/>
  <c r="G23" i="11"/>
  <c r="J80" i="11"/>
  <c r="D80" i="11" s="1"/>
  <c r="H11" i="11"/>
  <c r="E11" i="11"/>
  <c r="F11" i="11"/>
  <c r="I11" i="11"/>
  <c r="G11" i="11"/>
  <c r="I18" i="11"/>
  <c r="G18" i="11"/>
  <c r="H18" i="11"/>
  <c r="E18" i="11"/>
  <c r="F18" i="11"/>
  <c r="H8" i="11"/>
  <c r="E8" i="11"/>
  <c r="B7" i="11"/>
  <c r="F8" i="11"/>
  <c r="I8" i="11"/>
  <c r="G8" i="11"/>
  <c r="F20" i="11"/>
  <c r="I20" i="11"/>
  <c r="G20" i="11"/>
  <c r="H20" i="11"/>
  <c r="E20" i="11"/>
  <c r="G16" i="11"/>
  <c r="H16" i="11"/>
  <c r="E16" i="11"/>
  <c r="F16" i="11"/>
  <c r="I16" i="11"/>
  <c r="J85" i="11"/>
  <c r="D85" i="11" s="1"/>
  <c r="I21" i="11"/>
  <c r="H21" i="11"/>
  <c r="G21" i="11"/>
  <c r="F21" i="11"/>
  <c r="E21" i="11"/>
  <c r="J119" i="11"/>
  <c r="J117" i="11"/>
  <c r="I115" i="11"/>
  <c r="E95" i="11"/>
  <c r="G26" i="7" s="1"/>
  <c r="G26" i="9"/>
  <c r="J72" i="11"/>
  <c r="D72" i="11" s="1"/>
  <c r="J71" i="11"/>
  <c r="D71" i="11" s="1"/>
  <c r="J70" i="11"/>
  <c r="D70" i="11" s="1"/>
  <c r="J69" i="11"/>
  <c r="D69" i="11" s="1"/>
  <c r="J68" i="11"/>
  <c r="D68" i="11" s="1"/>
  <c r="I33" i="11"/>
  <c r="J66" i="11"/>
  <c r="D66" i="11" s="1"/>
  <c r="J10" i="11"/>
  <c r="D10" i="11" s="1"/>
  <c r="I184" i="11"/>
  <c r="H184" i="11"/>
  <c r="G184" i="11"/>
  <c r="F184" i="11"/>
  <c r="E184" i="11"/>
  <c r="E183" i="11" s="1"/>
  <c r="AF8" i="9"/>
  <c r="D94" i="9"/>
  <c r="D99" i="9"/>
  <c r="D98" i="9"/>
  <c r="D97" i="9"/>
  <c r="F61" i="9"/>
  <c r="AH10" i="9" s="1"/>
  <c r="AI10" i="9" s="1"/>
  <c r="AJ10" i="9" s="1"/>
  <c r="G15" i="9"/>
  <c r="D87" i="9" s="1"/>
  <c r="G12" i="9"/>
  <c r="E37" i="9"/>
  <c r="AH16" i="9" s="1"/>
  <c r="AI16" i="9" s="1"/>
  <c r="AJ16" i="9" s="1"/>
  <c r="I8" i="9"/>
  <c r="D84" i="9" s="1"/>
  <c r="I4" i="9"/>
  <c r="AH14" i="9" s="1"/>
  <c r="H15" i="7" l="1"/>
  <c r="H15" i="8"/>
  <c r="L8" i="15"/>
  <c r="G18" i="8"/>
  <c r="G19" i="8"/>
  <c r="H8" i="7"/>
  <c r="AI11" i="9"/>
  <c r="AJ11" i="9" s="1"/>
  <c r="AG11" i="9"/>
  <c r="I65" i="11"/>
  <c r="H65" i="11"/>
  <c r="G65" i="11"/>
  <c r="G63" i="11" s="1"/>
  <c r="F65" i="11"/>
  <c r="E65" i="11"/>
  <c r="E63" i="11" s="1"/>
  <c r="E146" i="11"/>
  <c r="J149" i="11"/>
  <c r="J146" i="11" s="1"/>
  <c r="D146" i="11" s="1"/>
  <c r="H103" i="11"/>
  <c r="G99" i="11"/>
  <c r="G97" i="11" s="1"/>
  <c r="M2" i="13"/>
  <c r="M7" i="13"/>
  <c r="K2" i="13"/>
  <c r="Z25" i="12"/>
  <c r="Z29" i="12" s="1"/>
  <c r="V25" i="12"/>
  <c r="W25" i="12"/>
  <c r="X25" i="12"/>
  <c r="Y25" i="12"/>
  <c r="J10" i="13"/>
  <c r="F183" i="11"/>
  <c r="G183" i="11"/>
  <c r="H183" i="11"/>
  <c r="I183" i="11"/>
  <c r="J183" i="11"/>
  <c r="K7" i="13"/>
  <c r="Y29" i="12"/>
  <c r="X29" i="12"/>
  <c r="K5" i="13"/>
  <c r="W29" i="12"/>
  <c r="V29" i="12"/>
  <c r="AA5" i="12"/>
  <c r="AA9" i="12" s="1"/>
  <c r="I114" i="11"/>
  <c r="M5" i="13"/>
  <c r="M10" i="13" s="1"/>
  <c r="H24" i="11"/>
  <c r="F24" i="11"/>
  <c r="I24" i="11"/>
  <c r="E24" i="11"/>
  <c r="J20" i="11"/>
  <c r="D20" i="11" s="1"/>
  <c r="J19" i="11"/>
  <c r="D19" i="11" s="1"/>
  <c r="H12" i="9"/>
  <c r="AH15" i="9" s="1"/>
  <c r="J12" i="11"/>
  <c r="D12" i="11" s="1"/>
  <c r="AH18" i="9"/>
  <c r="AI14" i="9"/>
  <c r="AJ14" i="9" s="1"/>
  <c r="AH4" i="9"/>
  <c r="AG14" i="9"/>
  <c r="AF11" i="9"/>
  <c r="AG15" i="9"/>
  <c r="AF15" i="9" s="1"/>
  <c r="AI15" i="9"/>
  <c r="AJ15" i="9" s="1"/>
  <c r="H13" i="11"/>
  <c r="G13" i="11"/>
  <c r="J8" i="11"/>
  <c r="D8" i="11" s="1"/>
  <c r="F63" i="11"/>
  <c r="H63" i="11"/>
  <c r="F13" i="11"/>
  <c r="J73" i="11"/>
  <c r="D73" i="11" s="1"/>
  <c r="J26" i="11"/>
  <c r="D26" i="11" s="1"/>
  <c r="I63" i="11"/>
  <c r="J11" i="11"/>
  <c r="D11" i="11" s="1"/>
  <c r="J9" i="11"/>
  <c r="D9" i="11" s="1"/>
  <c r="I13" i="11"/>
  <c r="J28" i="11"/>
  <c r="D28" i="11" s="1"/>
  <c r="J15" i="11"/>
  <c r="D15" i="11" s="1"/>
  <c r="J18" i="11"/>
  <c r="D18" i="11" s="1"/>
  <c r="J6" i="11"/>
  <c r="D6" i="11" s="1"/>
  <c r="I7" i="11"/>
  <c r="I5" i="11" s="1"/>
  <c r="F7" i="11"/>
  <c r="F5" i="11" s="1"/>
  <c r="E7" i="11"/>
  <c r="E5" i="11" s="1"/>
  <c r="E3" i="11" s="1"/>
  <c r="H7" i="11"/>
  <c r="H5" i="11" s="1"/>
  <c r="G7" i="11"/>
  <c r="J23" i="11"/>
  <c r="D23" i="11" s="1"/>
  <c r="J67" i="11"/>
  <c r="D67" i="11" s="1"/>
  <c r="J16" i="11"/>
  <c r="D16" i="11" s="1"/>
  <c r="J29" i="11"/>
  <c r="D29" i="11" s="1"/>
  <c r="J27" i="11"/>
  <c r="D27" i="11" s="1"/>
  <c r="J101" i="11"/>
  <c r="D101" i="11" s="1"/>
  <c r="J115" i="11"/>
  <c r="J14" i="11"/>
  <c r="D14" i="11" s="1"/>
  <c r="J81" i="11"/>
  <c r="D81" i="11" s="1"/>
  <c r="J21" i="11"/>
  <c r="D21" i="11" s="1"/>
  <c r="J22" i="11"/>
  <c r="D22" i="11" s="1"/>
  <c r="J84" i="11"/>
  <c r="D84" i="11" s="1"/>
  <c r="J25" i="11"/>
  <c r="D25" i="11" s="1"/>
  <c r="F33" i="11"/>
  <c r="AG10" i="9"/>
  <c r="AF10" i="9" s="1"/>
  <c r="D83" i="9"/>
  <c r="B96" i="9"/>
  <c r="D96" i="9" s="1"/>
  <c r="D100" i="9" s="1"/>
  <c r="D91" i="9"/>
  <c r="D89" i="9"/>
  <c r="D92" i="9" s="1"/>
  <c r="O31" i="8"/>
  <c r="O30" i="8"/>
  <c r="O59" i="8"/>
  <c r="M56" i="8"/>
  <c r="O45" i="8"/>
  <c r="M42" i="8"/>
  <c r="C39" i="8"/>
  <c r="G45" i="8" s="1"/>
  <c r="D39" i="8"/>
  <c r="B39" i="8"/>
  <c r="D37" i="8"/>
  <c r="D34" i="8" s="1"/>
  <c r="O20" i="8" s="1"/>
  <c r="O58" i="8" s="1"/>
  <c r="C37" i="8"/>
  <c r="C34" i="8" s="1"/>
  <c r="O12" i="8" s="1"/>
  <c r="B37" i="8"/>
  <c r="B34" i="8" s="1"/>
  <c r="O4" i="8" s="1"/>
  <c r="I30" i="8" s="1"/>
  <c r="B33" i="8"/>
  <c r="M21" i="8"/>
  <c r="M13" i="8"/>
  <c r="M5" i="8"/>
  <c r="C33" i="8"/>
  <c r="O43" i="8" s="1"/>
  <c r="D33" i="8"/>
  <c r="O8" i="15" l="1"/>
  <c r="M9" i="15" s="1"/>
  <c r="H9" i="8"/>
  <c r="H16" i="8"/>
  <c r="H9" i="7"/>
  <c r="H16" i="7"/>
  <c r="G5" i="11"/>
  <c r="M29" i="8"/>
  <c r="E129" i="11"/>
  <c r="E93" i="11"/>
  <c r="G7" i="7"/>
  <c r="M5" i="7" s="1"/>
  <c r="M10" i="7" s="1"/>
  <c r="I7" i="7"/>
  <c r="H7" i="7"/>
  <c r="AJ18" i="9"/>
  <c r="G48" i="8"/>
  <c r="G25" i="8"/>
  <c r="G22" i="8"/>
  <c r="E159" i="11"/>
  <c r="I103" i="11"/>
  <c r="I99" i="11" s="1"/>
  <c r="I97" i="11" s="1"/>
  <c r="H99" i="11"/>
  <c r="H97" i="11" s="1"/>
  <c r="H95" i="11" s="1"/>
  <c r="J103" i="11"/>
  <c r="E161" i="11"/>
  <c r="H159" i="11"/>
  <c r="K10" i="13"/>
  <c r="I95" i="11"/>
  <c r="I159" i="11" s="1"/>
  <c r="J114" i="11"/>
  <c r="D114" i="11" s="1"/>
  <c r="J13" i="11"/>
  <c r="D13" i="11" s="1"/>
  <c r="AI18" i="9"/>
  <c r="S57" i="9" s="1"/>
  <c r="T40" i="9"/>
  <c r="I3" i="11"/>
  <c r="J65" i="11"/>
  <c r="D65" i="11" s="1"/>
  <c r="J24" i="11"/>
  <c r="D24" i="11" s="1"/>
  <c r="G3" i="11"/>
  <c r="J7" i="11"/>
  <c r="D7" i="11" s="1"/>
  <c r="H3" i="11"/>
  <c r="AF14" i="9"/>
  <c r="AF25" i="9" s="1"/>
  <c r="AG25" i="9"/>
  <c r="J33" i="11"/>
  <c r="D33" i="11" s="1"/>
  <c r="AG16" i="9"/>
  <c r="AG29" i="9" s="1"/>
  <c r="AH26" i="9"/>
  <c r="AH25" i="9"/>
  <c r="AH24" i="9"/>
  <c r="D101" i="9"/>
  <c r="O28" i="8"/>
  <c r="O33" i="8" s="1"/>
  <c r="O44" i="8"/>
  <c r="I53" i="8"/>
  <c r="O42" i="8"/>
  <c r="O47" i="8" s="1"/>
  <c r="M4" i="8"/>
  <c r="O29" i="8"/>
  <c r="M20" i="8"/>
  <c r="R16" i="8" s="1"/>
  <c r="O57" i="8"/>
  <c r="M12" i="8"/>
  <c r="R9" i="8"/>
  <c r="O56" i="8"/>
  <c r="O61" i="8" s="1"/>
  <c r="G71" i="8"/>
  <c r="G68" i="8"/>
  <c r="I76" i="8"/>
  <c r="R17" i="8"/>
  <c r="R8" i="8"/>
  <c r="T8" i="8"/>
  <c r="T16" i="8"/>
  <c r="H12" i="8" l="1"/>
  <c r="H17" i="8" s="1"/>
  <c r="M43" i="8"/>
  <c r="M47" i="8" s="1"/>
  <c r="M50" i="8" s="1"/>
  <c r="L9" i="15"/>
  <c r="I15" i="7"/>
  <c r="I15" i="8"/>
  <c r="O5" i="7"/>
  <c r="O10" i="7" s="1"/>
  <c r="G93" i="11"/>
  <c r="G161" i="11"/>
  <c r="G192" i="11" s="1"/>
  <c r="H12" i="7"/>
  <c r="N19" i="7" s="1"/>
  <c r="N5" i="7"/>
  <c r="N10" i="7" s="1"/>
  <c r="G129" i="11"/>
  <c r="G190" i="11" s="1"/>
  <c r="T74" i="9"/>
  <c r="S74" i="9"/>
  <c r="G35" i="8"/>
  <c r="E163" i="11"/>
  <c r="I26" i="7"/>
  <c r="G159" i="11"/>
  <c r="H161" i="11"/>
  <c r="H192" i="11" s="1"/>
  <c r="I129" i="11"/>
  <c r="I93" i="11"/>
  <c r="I161" i="11"/>
  <c r="I192" i="11" s="1"/>
  <c r="J63" i="11"/>
  <c r="D63" i="11" s="1"/>
  <c r="T57" i="9"/>
  <c r="AG18" i="9"/>
  <c r="S21" i="9" s="1"/>
  <c r="E190" i="11"/>
  <c r="E192" i="11"/>
  <c r="H129" i="11"/>
  <c r="H93" i="11"/>
  <c r="U43" i="9"/>
  <c r="S40" i="9"/>
  <c r="AH30" i="9"/>
  <c r="AH32" i="9" s="1"/>
  <c r="F3" i="11"/>
  <c r="F169" i="11" s="1"/>
  <c r="F186" i="11" s="1"/>
  <c r="J5" i="11"/>
  <c r="D5" i="11" s="1"/>
  <c r="AG4" i="9"/>
  <c r="AG24" i="9"/>
  <c r="AF16" i="9"/>
  <c r="AF18" i="9" s="1"/>
  <c r="AG26" i="9"/>
  <c r="AG28" i="9"/>
  <c r="M19" i="8"/>
  <c r="G46" i="8"/>
  <c r="I9" i="7" l="1"/>
  <c r="I12" i="7" s="1"/>
  <c r="I16" i="7"/>
  <c r="O9" i="15"/>
  <c r="M10" i="15" s="1"/>
  <c r="I9" i="8"/>
  <c r="I16" i="8"/>
  <c r="G17" i="7"/>
  <c r="H18" i="8"/>
  <c r="H19" i="8" s="1"/>
  <c r="T95" i="9"/>
  <c r="S95" i="9"/>
  <c r="U78" i="9"/>
  <c r="U79" i="9"/>
  <c r="U80" i="9"/>
  <c r="U81" i="9"/>
  <c r="U82" i="9"/>
  <c r="U77" i="9"/>
  <c r="M3" i="8"/>
  <c r="M6" i="8" s="1"/>
  <c r="G23" i="8"/>
  <c r="I39" i="8"/>
  <c r="G41" i="8"/>
  <c r="G40" i="8"/>
  <c r="I38" i="8" s="1"/>
  <c r="G38" i="8"/>
  <c r="E167" i="11"/>
  <c r="E165" i="11"/>
  <c r="E173" i="11" s="1"/>
  <c r="E171" i="11" s="1"/>
  <c r="M28" i="8" s="1"/>
  <c r="M33" i="8" s="1"/>
  <c r="M36" i="8" s="1"/>
  <c r="E196" i="11"/>
  <c r="T21" i="9"/>
  <c r="U61" i="9"/>
  <c r="U62" i="9"/>
  <c r="U63" i="9"/>
  <c r="U64" i="9"/>
  <c r="U65" i="9"/>
  <c r="U60" i="9"/>
  <c r="AG30" i="9"/>
  <c r="AG32" i="9" s="1"/>
  <c r="E194" i="11"/>
  <c r="I190" i="11"/>
  <c r="I196" i="11"/>
  <c r="T3" i="9"/>
  <c r="G196" i="11"/>
  <c r="H196" i="11"/>
  <c r="H190" i="11"/>
  <c r="S3" i="9"/>
  <c r="J3" i="11"/>
  <c r="D3" i="11" s="1"/>
  <c r="F93" i="11"/>
  <c r="J93" i="11" s="1"/>
  <c r="D93" i="11" s="1"/>
  <c r="U44" i="9"/>
  <c r="U45" i="9"/>
  <c r="U46" i="9"/>
  <c r="U47" i="9"/>
  <c r="U48" i="9"/>
  <c r="AF24" i="9"/>
  <c r="AF26" i="9"/>
  <c r="AF4" i="9"/>
  <c r="AG27" i="9"/>
  <c r="M11" i="8"/>
  <c r="R15" i="8" s="1"/>
  <c r="G58" i="8"/>
  <c r="O19" i="8"/>
  <c r="O22" i="8" s="1"/>
  <c r="G81" i="8"/>
  <c r="G69" i="8"/>
  <c r="R7" i="8"/>
  <c r="G24" i="8"/>
  <c r="G26" i="8" s="1"/>
  <c r="G70" i="8"/>
  <c r="G72" i="8" s="1"/>
  <c r="O3" i="8"/>
  <c r="M22" i="8"/>
  <c r="G47" i="8"/>
  <c r="G49" i="8" s="1"/>
  <c r="G55" i="8" s="1"/>
  <c r="O11" i="8"/>
  <c r="T15" i="8" l="1"/>
  <c r="I12" i="8"/>
  <c r="I17" i="8" s="1"/>
  <c r="M57" i="8"/>
  <c r="M61" i="8" s="1"/>
  <c r="M64" i="8" s="1"/>
  <c r="M14" i="8"/>
  <c r="G61" i="8" s="1"/>
  <c r="L10" i="15"/>
  <c r="I42" i="8"/>
  <c r="I17" i="7"/>
  <c r="G52" i="8"/>
  <c r="G32" i="8"/>
  <c r="G31" i="8"/>
  <c r="G29" i="8"/>
  <c r="E169" i="11"/>
  <c r="E186" i="11" s="1"/>
  <c r="U29" i="9"/>
  <c r="U24" i="9"/>
  <c r="U28" i="9"/>
  <c r="U26" i="9"/>
  <c r="U27" i="9"/>
  <c r="U25" i="9"/>
  <c r="U11" i="9"/>
  <c r="K36" i="9"/>
  <c r="K38" i="9" s="1"/>
  <c r="K39" i="9" s="1"/>
  <c r="K40" i="9" s="1"/>
  <c r="G32" i="9" s="1"/>
  <c r="H32" i="9" s="1"/>
  <c r="AF30" i="9"/>
  <c r="AF32" i="9" s="1"/>
  <c r="G54" i="8"/>
  <c r="I62" i="8"/>
  <c r="G64" i="8"/>
  <c r="G63" i="8"/>
  <c r="I61" i="8" s="1"/>
  <c r="G86" i="8"/>
  <c r="I85" i="8"/>
  <c r="G87" i="8"/>
  <c r="I52" i="8"/>
  <c r="R10" i="8"/>
  <c r="G75" i="8"/>
  <c r="G84" i="8"/>
  <c r="G77" i="8"/>
  <c r="G78" i="8"/>
  <c r="O14" i="8"/>
  <c r="T18" i="8" s="1"/>
  <c r="T7" i="8"/>
  <c r="O10" i="15" l="1"/>
  <c r="M11" i="15" s="1"/>
  <c r="R18" i="8"/>
  <c r="I18" i="8"/>
  <c r="I19" i="8"/>
  <c r="I65" i="8"/>
  <c r="I29" i="8"/>
  <c r="AH7" i="9"/>
  <c r="I32" i="9"/>
  <c r="M71" i="9"/>
  <c r="M72" i="9" s="1"/>
  <c r="B72" i="9" s="1"/>
  <c r="F72" i="9" s="1"/>
  <c r="U98" i="9"/>
  <c r="U99" i="9"/>
  <c r="U100" i="9"/>
  <c r="U101" i="9"/>
  <c r="U102" i="9"/>
  <c r="U103" i="9"/>
  <c r="U7" i="9"/>
  <c r="U8" i="9"/>
  <c r="U9" i="9"/>
  <c r="U10" i="9"/>
  <c r="U6" i="9"/>
  <c r="I75" i="8"/>
  <c r="I87" i="8"/>
  <c r="I84" i="8"/>
  <c r="L11" i="15" l="1"/>
  <c r="M12" i="15"/>
  <c r="F73" i="9"/>
  <c r="AH5" i="9"/>
  <c r="AG7" i="9"/>
  <c r="AF7" i="9" s="1"/>
  <c r="AI7" i="9"/>
  <c r="AJ7" i="9" s="1"/>
  <c r="AH12" i="9"/>
  <c r="C36" i="7"/>
  <c r="D36" i="7"/>
  <c r="H17" i="7"/>
  <c r="G18" i="7"/>
  <c r="O19" i="7"/>
  <c r="D24" i="7"/>
  <c r="C24" i="7"/>
  <c r="D15" i="7"/>
  <c r="C15" i="7"/>
  <c r="B15" i="7"/>
  <c r="D8" i="7"/>
  <c r="C8" i="7"/>
  <c r="C39" i="7" s="1"/>
  <c r="B8" i="7"/>
  <c r="D4" i="7"/>
  <c r="C4" i="7"/>
  <c r="B4" i="7"/>
  <c r="O11" i="15" l="1"/>
  <c r="L12" i="15"/>
  <c r="B40" i="7"/>
  <c r="B39" i="7"/>
  <c r="M21" i="7"/>
  <c r="G19" i="7"/>
  <c r="G28" i="7" s="1"/>
  <c r="H18" i="7"/>
  <c r="H19" i="7" s="1"/>
  <c r="H28" i="7" s="1"/>
  <c r="N21" i="7"/>
  <c r="B33" i="7"/>
  <c r="AH3" i="9"/>
  <c r="AH20" i="9"/>
  <c r="AG5" i="9"/>
  <c r="AG12" i="9" s="1"/>
  <c r="AG20" i="9" s="1"/>
  <c r="AI5" i="9"/>
  <c r="AJ5" i="9" s="1"/>
  <c r="R40" i="9"/>
  <c r="S47" i="9" s="1"/>
  <c r="C40" i="7"/>
  <c r="D39" i="7"/>
  <c r="D40" i="7"/>
  <c r="N20" i="7"/>
  <c r="O20" i="7"/>
  <c r="C29" i="7"/>
  <c r="B14" i="7"/>
  <c r="M4" i="7" s="1"/>
  <c r="C14" i="7"/>
  <c r="N4" i="7" s="1"/>
  <c r="D14" i="7"/>
  <c r="O4" i="7" s="1"/>
  <c r="B29" i="7"/>
  <c r="B35" i="7" s="1"/>
  <c r="D29" i="7"/>
  <c r="T43" i="9" l="1"/>
  <c r="S45" i="9"/>
  <c r="S44" i="9"/>
  <c r="T47" i="9"/>
  <c r="T48" i="9"/>
  <c r="T46" i="9"/>
  <c r="T45" i="9"/>
  <c r="B34" i="7"/>
  <c r="AF5" i="9"/>
  <c r="AF12" i="9" s="1"/>
  <c r="R21" i="9"/>
  <c r="T28" i="9" s="1"/>
  <c r="S46" i="9"/>
  <c r="T44" i="9"/>
  <c r="S43" i="9"/>
  <c r="AJ12" i="9"/>
  <c r="AI12" i="9"/>
  <c r="R57" i="9" s="1"/>
  <c r="S48" i="9"/>
  <c r="AG3" i="9"/>
  <c r="D41" i="7"/>
  <c r="D35" i="7"/>
  <c r="C41" i="7"/>
  <c r="B41" i="7"/>
  <c r="C34" i="7"/>
  <c r="C33" i="7"/>
  <c r="O6" i="8"/>
  <c r="T10" i="8" s="1"/>
  <c r="T26" i="9" l="1"/>
  <c r="T27" i="9"/>
  <c r="T25" i="9"/>
  <c r="AJ20" i="9"/>
  <c r="R74" i="9"/>
  <c r="AF20" i="9"/>
  <c r="R95" i="9"/>
  <c r="T24" i="9"/>
  <c r="T29" i="9"/>
  <c r="AI20" i="9"/>
  <c r="R3" i="9"/>
  <c r="T8" i="9" s="1"/>
  <c r="AF3" i="9"/>
  <c r="T7" i="9" l="1"/>
  <c r="S6" i="9"/>
  <c r="T11" i="9"/>
  <c r="T6" i="9"/>
  <c r="S9" i="9"/>
  <c r="S8" i="9"/>
  <c r="S77" i="9"/>
  <c r="T78" i="9"/>
  <c r="T79" i="9"/>
  <c r="T81" i="9"/>
  <c r="T82" i="9"/>
  <c r="S78" i="9"/>
  <c r="T80" i="9"/>
  <c r="S79" i="9"/>
  <c r="S80" i="9"/>
  <c r="S81" i="9"/>
  <c r="T77" i="9"/>
  <c r="S82" i="9"/>
  <c r="S7" i="9"/>
  <c r="S10" i="9"/>
  <c r="T10" i="9"/>
  <c r="T9" i="9"/>
  <c r="S11" i="9"/>
  <c r="S61" i="9"/>
  <c r="S62" i="9"/>
  <c r="S63" i="9"/>
  <c r="S64" i="9"/>
  <c r="S65" i="9"/>
  <c r="T60" i="9"/>
  <c r="S60" i="9"/>
  <c r="T61" i="9"/>
  <c r="T62" i="9"/>
  <c r="T63" i="9"/>
  <c r="T64" i="9"/>
  <c r="T65" i="9"/>
  <c r="S103" i="9"/>
  <c r="T103" i="9"/>
  <c r="S101" i="9"/>
  <c r="S102" i="9"/>
  <c r="S98" i="9"/>
  <c r="T100" i="9"/>
  <c r="T102" i="9"/>
  <c r="T98" i="9"/>
  <c r="T99" i="9"/>
  <c r="S99" i="9"/>
  <c r="S100" i="9"/>
  <c r="T101" i="9"/>
  <c r="S25" i="9"/>
  <c r="S26" i="9"/>
  <c r="S27" i="9"/>
  <c r="S28" i="9"/>
  <c r="S29" i="9"/>
  <c r="S24" i="9"/>
  <c r="J99" i="11"/>
  <c r="D99" i="11" s="1"/>
  <c r="F95" i="11"/>
  <c r="H26" i="7" l="1"/>
  <c r="C35" i="7" s="1"/>
  <c r="F129" i="11"/>
  <c r="F161" i="11"/>
  <c r="F159" i="11"/>
  <c r="J159" i="11" s="1"/>
  <c r="H163" i="11"/>
  <c r="J97" i="11"/>
  <c r="D97" i="11" s="1"/>
  <c r="J161" i="11"/>
  <c r="I163" i="11"/>
  <c r="F192" i="11"/>
  <c r="J95" i="11"/>
  <c r="D95" i="11" s="1"/>
  <c r="D159" i="11"/>
  <c r="F190" i="11"/>
  <c r="F163" i="11" l="1"/>
  <c r="G163" i="11"/>
  <c r="G165" i="11" s="1"/>
  <c r="G173" i="11" s="1"/>
  <c r="G171" i="11" s="1"/>
  <c r="G169" i="11" s="1"/>
  <c r="I167" i="11"/>
  <c r="J167" i="11" s="1"/>
  <c r="D167" i="11" s="1"/>
  <c r="I165" i="11"/>
  <c r="H167" i="11"/>
  <c r="H165" i="11"/>
  <c r="H173" i="11" s="1"/>
  <c r="H171" i="11" s="1"/>
  <c r="G167" i="11"/>
  <c r="F165" i="11"/>
  <c r="F167" i="11"/>
  <c r="J165" i="11"/>
  <c r="F194" i="11"/>
  <c r="F196" i="11"/>
  <c r="J129" i="11"/>
  <c r="J163" i="11"/>
  <c r="J194" i="11" s="1"/>
  <c r="D194" i="11" s="1"/>
  <c r="I194" i="11"/>
  <c r="H194" i="11"/>
  <c r="G194" i="11"/>
  <c r="J192" i="11"/>
  <c r="D192" i="11" s="1"/>
  <c r="D161" i="11"/>
  <c r="H169" i="11" l="1"/>
  <c r="H186" i="11" s="1"/>
  <c r="G186" i="11"/>
  <c r="D165" i="11"/>
  <c r="I173" i="11"/>
  <c r="I171" i="11" s="1"/>
  <c r="I169" i="11" s="1"/>
  <c r="J190" i="11"/>
  <c r="D190" i="11" s="1"/>
  <c r="D129" i="11"/>
  <c r="J196" i="11"/>
  <c r="D196" i="11" s="1"/>
  <c r="I18" i="7" l="1"/>
  <c r="I19" i="7" s="1"/>
  <c r="J169" i="11"/>
  <c r="D169" i="11" s="1"/>
  <c r="I186" i="11"/>
  <c r="J186" i="11" s="1"/>
  <c r="D186" i="11" s="1"/>
  <c r="O21" i="7" l="1"/>
  <c r="I28" i="7"/>
  <c r="D33" i="7" l="1"/>
  <c r="D34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42A9624-B7F8-483F-965F-579FC50214A7}" keepAlive="1" name="Lekérdezés - Page001" description="A munkafüzetben levő „Page001” lekérdezés kapcsolata" type="5" refreshedVersion="0" background="1">
    <dbPr connection="Provider=Microsoft.Mashup.OleDb.1;Data Source=$Workbook$;Location=Page001;Extended Properties=&quot;&quot;" command="SELECT * FROM [Page001]"/>
  </connection>
  <connection id="2" xr16:uid="{09A2C334-0975-4145-8F73-7AD0A7F3BABF}" keepAlive="1" name="Lekérdezés - Table001 (Page 1)" description="A munkafüzetben levő „Table001 (Page 1)” lekérdezés kapcsolata" type="5" refreshedVersion="8" background="1" saveData="1">
    <dbPr connection="Provider=Microsoft.Mashup.OleDb.1;Data Source=$Workbook$;Location=&quot;Table001 (Page 1)&quot;;Extended Properties=&quot;&quot;" command="SELECT * FROM [Table001 (Page 1)]"/>
  </connection>
  <connection id="3" xr16:uid="{0481F076-2377-4DCB-9297-C088F04D6C16}" keepAlive="1" name="Lekérdezés - Table002 (Page 2)" description="A munkafüzetben levő „Table002 (Page 2)” lekérdezés kapcsolata" type="5" refreshedVersion="8" background="1" saveData="1">
    <dbPr connection="Provider=Microsoft.Mashup.OleDb.1;Data Source=$Workbook$;Location=&quot;Table002 (Page 2)&quot;;Extended Properties=&quot;&quot;" command="SELECT * FROM [Table002 (Page 2)]"/>
  </connection>
  <connection id="4" xr16:uid="{1AE5DA9D-6E15-4971-9347-C664FF666B98}" keepAlive="1" name="Lekérdezés - Törlesztési táblák" description="A munkafüzetben levő „Törlesztési táblák” lekérdezés kapcsolata" type="5" refreshedVersion="0" background="1" saveData="1">
    <dbPr connection="Provider=Microsoft.Mashup.OleDb.1;Data Source=$Workbook$;Location=&quot;Törlesztési táblák&quot;;Extended Properties=&quot;&quot;" command="SELECT * FROM [Törlesztési táblák]"/>
  </connection>
</connections>
</file>

<file path=xl/sharedStrings.xml><?xml version="1.0" encoding="utf-8"?>
<sst xmlns="http://schemas.openxmlformats.org/spreadsheetml/2006/main" count="1253" uniqueCount="535">
  <si>
    <t>Időszak: 2022-2023-2024</t>
  </si>
  <si>
    <t>Időszak</t>
  </si>
  <si>
    <t>(Adatok ezer Ft-ben )</t>
  </si>
  <si>
    <t>Eredménykimutatás  (adatok ezer Ft-ben)</t>
  </si>
  <si>
    <t>I. ÉRTÉKESÍTÉS NETTÓ ÁRBEVÉTELE</t>
  </si>
  <si>
    <t>A. Befektetett eszközök</t>
  </si>
  <si>
    <t>II. AKTIVÁLT SAJÁT TELJ.-EK ÉRTÉKE</t>
  </si>
  <si>
    <t>Eszközök forgási sebessége</t>
  </si>
  <si>
    <t>I. IMMATERIÁLIS JAVAK</t>
  </si>
  <si>
    <t>III. EGYÉB BEVÉTELEK</t>
  </si>
  <si>
    <t>Készletek forgási sebessége</t>
  </si>
  <si>
    <t>II. TÁRGYI ESZKÖZÖK</t>
  </si>
  <si>
    <t>Ebből: visszaírt értékvesztés</t>
  </si>
  <si>
    <t>Vevői követelések forgási sebessége</t>
  </si>
  <si>
    <t>III. BEFEKTETETT PÉNZÜGYI ESZKÖZÖK</t>
  </si>
  <si>
    <t>IV. ANYAGJELLEGŰ RÁFORDÍTÁSOK</t>
  </si>
  <si>
    <t>B. Forgóeszközök</t>
  </si>
  <si>
    <t>V. SZEMÉLYI JELLEGŰ RÁFORDÍTÁSOK</t>
  </si>
  <si>
    <t>I. KÉSZLETEK</t>
  </si>
  <si>
    <t>VI. ÉRTÉKCSÖKKENÉSI LEÍRÁS</t>
  </si>
  <si>
    <t>II. KÖVETELÉSEK</t>
  </si>
  <si>
    <t>VII. EGYÉB RÁFORDÍTÁSOK</t>
  </si>
  <si>
    <t>Készletek forgási ideje (hónap)</t>
  </si>
  <si>
    <t>III. ÉRTÉKPAPÍROK</t>
  </si>
  <si>
    <t>Ebből: értékvesztés</t>
  </si>
  <si>
    <t>Vevői követelések forgási ideje (hónap)</t>
  </si>
  <si>
    <t>IV. PÉNZESZKÖZÖK</t>
  </si>
  <si>
    <t>A. ÜZEMI (üzleti)TEVÉKENYSÉG EREDMÉNYE(I+II+III-IV-V-VI-VII)</t>
  </si>
  <si>
    <t>C. Aktív idõbeli elhatárolások</t>
  </si>
  <si>
    <t>VIII. PÉNZÜGYI MŰVELETEK BEVÉTELEI</t>
  </si>
  <si>
    <t>ESZKÖZÖK ÖSSZESEN</t>
  </si>
  <si>
    <t>Ebből: értékelési különbözet</t>
  </si>
  <si>
    <t xml:space="preserve">D. Saját tõke </t>
  </si>
  <si>
    <t>IX. PÉNZÜGYI MŰVELETEK RÁFORDÍTÁSAI</t>
  </si>
  <si>
    <t>I. JEGYZETT TÕKE</t>
  </si>
  <si>
    <t>B. PÉNZÜGYI MŰVELETEK EREDMÉNYE (VIII.-IX.)</t>
  </si>
  <si>
    <t>II. JEGYZETT, DE MÉG BE NEM FIZETETT</t>
  </si>
  <si>
    <t>C. ADÓZÁS ELŐTTI EREDMÉNY (A+B)</t>
  </si>
  <si>
    <t>III. TÕKETARTALÉK</t>
  </si>
  <si>
    <t>X. Adófizetési kötelezettség</t>
  </si>
  <si>
    <t>IV. EREDMÉNYTARTALÉK</t>
  </si>
  <si>
    <t>D. ADÓZOTT EREDMÉNY (C-X) 9%</t>
  </si>
  <si>
    <t>EBIT</t>
  </si>
  <si>
    <t>V. LEKÖTÖTT TARTALÉK</t>
  </si>
  <si>
    <t>EBITDA</t>
  </si>
  <si>
    <t>VI. ÉRTÉKELÉSI TARTALÉK</t>
  </si>
  <si>
    <t>VII. ADÓZOTT EREDMÉNY</t>
  </si>
  <si>
    <t>ó</t>
  </si>
  <si>
    <t>Emberi erőforrások</t>
  </si>
  <si>
    <t>E. Céltartalékok</t>
  </si>
  <si>
    <t>Foglalkoztatottak létszáma</t>
  </si>
  <si>
    <t>F. Kötelezettségek</t>
  </si>
  <si>
    <t>I. HÁTRASOROLT KÖTELEZETTSÉGEK</t>
  </si>
  <si>
    <t>Egyéb</t>
  </si>
  <si>
    <t>II. HOSSZÚ LEJÁRATÚ</t>
  </si>
  <si>
    <t>Működési költség</t>
  </si>
  <si>
    <t>III. RÖVID LEJÁRATÚ</t>
  </si>
  <si>
    <t>G. Passzív idõbeli elhatárolások</t>
  </si>
  <si>
    <t>Profit Marzs</t>
  </si>
  <si>
    <t>FORRÁSOK  ÖSSZESEN</t>
  </si>
  <si>
    <t>Mutatók</t>
  </si>
  <si>
    <t>ROE</t>
  </si>
  <si>
    <t>ROA</t>
  </si>
  <si>
    <t>Költséghatékonyság 1</t>
  </si>
  <si>
    <t>Létszámhatékonyság 3</t>
  </si>
  <si>
    <t>Likviditási Mutató</t>
  </si>
  <si>
    <t>Gyors likvid</t>
  </si>
  <si>
    <t>Saját Tőke</t>
  </si>
  <si>
    <t xml:space="preserve">EBITDA  /Profit </t>
  </si>
  <si>
    <t xml:space="preserve">EBITDA Profit </t>
  </si>
  <si>
    <t>Árvevétel</t>
  </si>
  <si>
    <t>Költségek</t>
  </si>
  <si>
    <t>Adózott Eredmény</t>
  </si>
  <si>
    <t> </t>
  </si>
  <si>
    <t>ÁTLAG</t>
  </si>
  <si>
    <t>ÖSSZESEN</t>
  </si>
  <si>
    <t>Megjegyzés</t>
  </si>
  <si>
    <t>Eladás, bevétel Ft</t>
  </si>
  <si>
    <t>eFt</t>
  </si>
  <si>
    <t>ÉRTÉKESÍTÉS</t>
  </si>
  <si>
    <t>ár</t>
  </si>
  <si>
    <t>Ft/db</t>
  </si>
  <si>
    <t>Kenderbeton</t>
  </si>
  <si>
    <t>Ft/m2</t>
  </si>
  <si>
    <t>200 m2</t>
  </si>
  <si>
    <t>x</t>
  </si>
  <si>
    <t>anyag</t>
  </si>
  <si>
    <t>Napelem</t>
  </si>
  <si>
    <t>hónap</t>
  </si>
  <si>
    <t>rezsi (fix)</t>
  </si>
  <si>
    <t>Inverter</t>
  </si>
  <si>
    <t>Bérek</t>
  </si>
  <si>
    <t>szumm</t>
  </si>
  <si>
    <t>10% ár rés</t>
  </si>
  <si>
    <t>Tartószerkezet</t>
  </si>
  <si>
    <t>egyéb költ</t>
  </si>
  <si>
    <t>Kábelezés</t>
  </si>
  <si>
    <t xml:space="preserve">Ráfordítás </t>
  </si>
  <si>
    <t>Panel</t>
  </si>
  <si>
    <t>Építkezés</t>
  </si>
  <si>
    <t>Tervezés és Engedélyezés</t>
  </si>
  <si>
    <t>Alapozás</t>
  </si>
  <si>
    <t>Tető és Bádog</t>
  </si>
  <si>
    <t>Szerkezet</t>
  </si>
  <si>
    <t>Nyílászárók</t>
  </si>
  <si>
    <t>Vakolás/Burkolás</t>
  </si>
  <si>
    <t>Gépészet és Villany</t>
  </si>
  <si>
    <t>Zöldfal</t>
  </si>
  <si>
    <t xml:space="preserve">Sodronyrendszer </t>
  </si>
  <si>
    <t>Kazettás élő fal</t>
  </si>
  <si>
    <t>Bosco Verticale</t>
  </si>
  <si>
    <t>Szerkezeti felár</t>
  </si>
  <si>
    <t>Zöldréteg</t>
  </si>
  <si>
    <t>Növények</t>
  </si>
  <si>
    <t>Dézsák</t>
  </si>
  <si>
    <t>Öntözőrendszer</t>
  </si>
  <si>
    <t>Gyártás, szolgáltatás</t>
  </si>
  <si>
    <t>db</t>
  </si>
  <si>
    <t>MENNYISÉG</t>
  </si>
  <si>
    <t>m2</t>
  </si>
  <si>
    <t>Beszerzés, anyag kts</t>
  </si>
  <si>
    <t>ANYAG ELÁBÉ</t>
  </si>
  <si>
    <t>anyag költség</t>
  </si>
  <si>
    <t>Fedezet</t>
  </si>
  <si>
    <t>BÉR KTS EFT</t>
  </si>
  <si>
    <t xml:space="preserve"> nettó </t>
  </si>
  <si>
    <t>bér emelkedés</t>
  </si>
  <si>
    <t>éves érték</t>
  </si>
  <si>
    <t>%</t>
  </si>
  <si>
    <t>BÉR EFT</t>
  </si>
  <si>
    <t>bruttó havi bér</t>
  </si>
  <si>
    <t>nettó</t>
  </si>
  <si>
    <t>Raktár</t>
  </si>
  <si>
    <t>Munkás</t>
  </si>
  <si>
    <t>Mérnök</t>
  </si>
  <si>
    <t>K+F</t>
  </si>
  <si>
    <t>Iroda</t>
  </si>
  <si>
    <t>LÉTSZÁM</t>
  </si>
  <si>
    <t>fő</t>
  </si>
  <si>
    <t>Fő</t>
  </si>
  <si>
    <t>Vezető</t>
  </si>
  <si>
    <t>REZSI</t>
  </si>
  <si>
    <t>Zöld Flotta Költség              db</t>
  </si>
  <si>
    <t>Tesla Model X                      db</t>
  </si>
  <si>
    <t>1 2025-től 3</t>
  </si>
  <si>
    <t>BMW M850i xDrive            db</t>
  </si>
  <si>
    <t>2 2025 ig</t>
  </si>
  <si>
    <t>MARKETING</t>
  </si>
  <si>
    <t>IT Marketing</t>
  </si>
  <si>
    <t>Vizsual (social)</t>
  </si>
  <si>
    <t>Helyszíni Marketing</t>
  </si>
  <si>
    <t>Presztízs és Tagságok</t>
  </si>
  <si>
    <t>Ebitda</t>
  </si>
  <si>
    <t>Beruházás</t>
  </si>
  <si>
    <t>BERUHÁZÁSOK</t>
  </si>
  <si>
    <t>épület</t>
  </si>
  <si>
    <t>gépek</t>
  </si>
  <si>
    <t>CITROËN Ë-JUMPER</t>
  </si>
  <si>
    <t>NISSAN Townstar EV</t>
  </si>
  <si>
    <t>VOLVO FH Electric</t>
  </si>
  <si>
    <t>FUSO eCanter</t>
  </si>
  <si>
    <t>Ford F-150 Lightning</t>
  </si>
  <si>
    <t xml:space="preserve">            </t>
  </si>
  <si>
    <t>Écs</t>
  </si>
  <si>
    <t>ÉRTÉKCSÖKKENÉS</t>
  </si>
  <si>
    <t>Szerszám</t>
  </si>
  <si>
    <t>Iroda (épület)</t>
  </si>
  <si>
    <t xml:space="preserve">Raktár 1 </t>
  </si>
  <si>
    <t>Raktár 2</t>
  </si>
  <si>
    <t>Flotta (zöld)</t>
  </si>
  <si>
    <t>Iroda (gépek)</t>
  </si>
  <si>
    <t>Flotta (személy)</t>
  </si>
  <si>
    <t>Összes költség</t>
  </si>
  <si>
    <t>Nyereség</t>
  </si>
  <si>
    <t>Nyereség halmozott</t>
  </si>
  <si>
    <t>Adózott nyereség</t>
  </si>
  <si>
    <t>Halmozott adózott</t>
  </si>
  <si>
    <t>PÉNZÜGYI HELYZET</t>
  </si>
  <si>
    <t>PÉNZÜGYI KIADÁSOK</t>
  </si>
  <si>
    <t>bank hitel visszafizetés</t>
  </si>
  <si>
    <t>osztalék kifizetés</t>
  </si>
  <si>
    <t>PÉNZÜGYI BEVÉTELEK</t>
  </si>
  <si>
    <t>egyéb pü. bevételek</t>
  </si>
  <si>
    <t>tőke befektetés</t>
  </si>
  <si>
    <t>Tőke befektetés</t>
  </si>
  <si>
    <t>Ft</t>
  </si>
  <si>
    <t>tőke befektetés halmozott</t>
  </si>
  <si>
    <t>súlyozott tőke befektetés</t>
  </si>
  <si>
    <t>PÉNZÜGYI HELYZET TŐKÉSÍTVE</t>
  </si>
  <si>
    <t>Hozamok</t>
  </si>
  <si>
    <t>ebitda hozam</t>
  </si>
  <si>
    <t>nyereség hozam</t>
  </si>
  <si>
    <t>halmozott nyereség hozam</t>
  </si>
  <si>
    <t>cégérték hozam</t>
  </si>
  <si>
    <t>Eszközök Ft ben</t>
  </si>
  <si>
    <t>Össz</t>
  </si>
  <si>
    <t>Árak</t>
  </si>
  <si>
    <t>Terv</t>
  </si>
  <si>
    <t>(egység 1,2)</t>
  </si>
  <si>
    <t>Ft / m²</t>
  </si>
  <si>
    <t>(Adatok Ft ben)</t>
  </si>
  <si>
    <t>Fix</t>
  </si>
  <si>
    <t>Változó</t>
  </si>
  <si>
    <t>Egység</t>
  </si>
  <si>
    <t>Ráforditás</t>
  </si>
  <si>
    <t>/év</t>
  </si>
  <si>
    <t>menyiség</t>
  </si>
  <si>
    <t>év</t>
  </si>
  <si>
    <t>/m2</t>
  </si>
  <si>
    <t>Volumen</t>
  </si>
  <si>
    <t>Fix költség</t>
  </si>
  <si>
    <t>Öszköltség</t>
  </si>
  <si>
    <t>Árbevétel</t>
  </si>
  <si>
    <t>Épitkezés /m2</t>
  </si>
  <si>
    <t>Össz Ft/m2</t>
  </si>
  <si>
    <t>K+F/hó</t>
  </si>
  <si>
    <t>Tervezés&amp;Engedély</t>
  </si>
  <si>
    <t>Tető&amp;Bádog</t>
  </si>
  <si>
    <t>Nyílászárok</t>
  </si>
  <si>
    <t>Gépészet&amp;Villany</t>
  </si>
  <si>
    <t>iroda /hó</t>
  </si>
  <si>
    <t>BMW /hó</t>
  </si>
  <si>
    <t>flotta /hó</t>
  </si>
  <si>
    <t>Zőld panelek 30-50%+ is lehet m2</t>
  </si>
  <si>
    <t>Átlag</t>
  </si>
  <si>
    <t>marketing /hó</t>
  </si>
  <si>
    <t>Zöldréteg(gerenda)</t>
  </si>
  <si>
    <t>Tesla/hó</t>
  </si>
  <si>
    <t xml:space="preserve">Össz </t>
  </si>
  <si>
    <t>Ft/év</t>
  </si>
  <si>
    <t>sodronyrendszer</t>
  </si>
  <si>
    <t>"+Változó</t>
  </si>
  <si>
    <t>Építés anyag/m2</t>
  </si>
  <si>
    <t>építés Napelem db</t>
  </si>
  <si>
    <t>Építés egyéb /óra</t>
  </si>
  <si>
    <t>Zöld Flotta Költség/db (teher)</t>
  </si>
  <si>
    <t>Év</t>
  </si>
  <si>
    <t>Változó össz</t>
  </si>
  <si>
    <t>Tőltés</t>
  </si>
  <si>
    <t>szerviz és gumi</t>
  </si>
  <si>
    <t>Biztosítás</t>
  </si>
  <si>
    <t>lizing (ha)</t>
  </si>
  <si>
    <t xml:space="preserve">adó </t>
  </si>
  <si>
    <t>Össz /db</t>
  </si>
  <si>
    <t>Össz költség</t>
  </si>
  <si>
    <t xml:space="preserve">Flotta /db (személy) </t>
  </si>
  <si>
    <t>hó</t>
  </si>
  <si>
    <t>Össz Év</t>
  </si>
  <si>
    <t>Adó (suly)</t>
  </si>
  <si>
    <t>(cégautó)</t>
  </si>
  <si>
    <t>Zöld Elektromos Tesla?</t>
  </si>
  <si>
    <t>adó</t>
  </si>
  <si>
    <t>biztosítás</t>
  </si>
  <si>
    <t>Szervizátalány &amp; Gumi</t>
  </si>
  <si>
    <t>Parkolás</t>
  </si>
  <si>
    <t>Ft/khw</t>
  </si>
  <si>
    <t>/hó</t>
  </si>
  <si>
    <t>építési terv</t>
  </si>
  <si>
    <t>Építkezéés</t>
  </si>
  <si>
    <t>BMW M850i xDrive 6osztaly</t>
  </si>
  <si>
    <t>/Hó</t>
  </si>
  <si>
    <t>/negyed év</t>
  </si>
  <si>
    <t xml:space="preserve">Napelem </t>
  </si>
  <si>
    <t>benzin/dízel</t>
  </si>
  <si>
    <t>anyag m2</t>
  </si>
  <si>
    <t>2024 véfén kikell vezetni a bmw t</t>
  </si>
  <si>
    <t>Egyéb óra</t>
  </si>
  <si>
    <t xml:space="preserve"> - </t>
  </si>
  <si>
    <t>Maradvány</t>
  </si>
  <si>
    <t xml:space="preserve"> -</t>
  </si>
  <si>
    <t>Iroda Költség rezsi/Hó 200m2</t>
  </si>
  <si>
    <t>bér</t>
  </si>
  <si>
    <t>Villany</t>
  </si>
  <si>
    <t>takarítás</t>
  </si>
  <si>
    <t>internet és távfelugyelet</t>
  </si>
  <si>
    <t>gépészet</t>
  </si>
  <si>
    <t>Árrés</t>
  </si>
  <si>
    <t>5 éves átlag</t>
  </si>
  <si>
    <t>Adó (épület)</t>
  </si>
  <si>
    <t xml:space="preserve">HIPA </t>
  </si>
  <si>
    <t>Építkezés Költségek/Óra</t>
  </si>
  <si>
    <t>Össz Ft/óra</t>
  </si>
  <si>
    <t>hasznos m2</t>
  </si>
  <si>
    <t>(Pest)</t>
  </si>
  <si>
    <t>alap átlag</t>
  </si>
  <si>
    <t>Kőműves</t>
  </si>
  <si>
    <t>Szakipari munkák</t>
  </si>
  <si>
    <t>(szochó ha ami munkásunk)</t>
  </si>
  <si>
    <t xml:space="preserve">anyag </t>
  </si>
  <si>
    <t>Kieg tábla</t>
  </si>
  <si>
    <t>adó év|hó</t>
  </si>
  <si>
    <t>Építkezések</t>
  </si>
  <si>
    <t>Egyébb közvetlen költségek /Óra</t>
  </si>
  <si>
    <t>Napelem db</t>
  </si>
  <si>
    <t>Szerszámok kopása</t>
  </si>
  <si>
    <t>Autó logisztika</t>
  </si>
  <si>
    <t>adminisztráció</t>
  </si>
  <si>
    <t>Adó</t>
  </si>
  <si>
    <t>kibontva</t>
  </si>
  <si>
    <t>összes költség</t>
  </si>
  <si>
    <t>Adó hó</t>
  </si>
  <si>
    <t>Marketing költségek /hó FIX</t>
  </si>
  <si>
    <t>Öszz</t>
  </si>
  <si>
    <t>Öszz Év</t>
  </si>
  <si>
    <t>havi munkaóra</t>
  </si>
  <si>
    <t>Éves munkaóra</t>
  </si>
  <si>
    <t>óra</t>
  </si>
  <si>
    <t>Weboldal</t>
  </si>
  <si>
    <t>Domain és tárhely</t>
  </si>
  <si>
    <t>Szoftverek</t>
  </si>
  <si>
    <t>Céges email</t>
  </si>
  <si>
    <t>raktáros</t>
  </si>
  <si>
    <t>Vizsual</t>
  </si>
  <si>
    <t>éves</t>
  </si>
  <si>
    <t>Videó költség</t>
  </si>
  <si>
    <t>Social Media Menedzs</t>
  </si>
  <si>
    <t>szerszám kopás</t>
  </si>
  <si>
    <t>Molinók|120000/ projekt</t>
  </si>
  <si>
    <t>táblák|60000/projekt</t>
  </si>
  <si>
    <t>(tervezet)</t>
  </si>
  <si>
    <t>Szakmai Kamarai</t>
  </si>
  <si>
    <t>HuGBC / Zöld Szervezet</t>
  </si>
  <si>
    <t>PR cikk</t>
  </si>
  <si>
    <t>Marketing egyben /hó</t>
  </si>
  <si>
    <t>Innovációs Mérnök (Bér)</t>
  </si>
  <si>
    <t>Anyagtesztek</t>
  </si>
  <si>
    <t>Eszközök</t>
  </si>
  <si>
    <t>évente</t>
  </si>
  <si>
    <t>havonta</t>
  </si>
  <si>
    <t>selejt ráforditás</t>
  </si>
  <si>
    <t>Pécs és szakgyak</t>
  </si>
  <si>
    <t>HIPA</t>
  </si>
  <si>
    <t xml:space="preserve">villany fütés </t>
  </si>
  <si>
    <t>Biztonság</t>
  </si>
  <si>
    <t>raktáros/udvaros</t>
  </si>
  <si>
    <t>Havonta</t>
  </si>
  <si>
    <t>Hasznos</t>
  </si>
  <si>
    <t>Évente</t>
  </si>
  <si>
    <t>Éves</t>
  </si>
  <si>
    <t>egyszer</t>
  </si>
  <si>
    <t>havi</t>
  </si>
  <si>
    <t>targonca</t>
  </si>
  <si>
    <t>béka</t>
  </si>
  <si>
    <t>Polcrendszer</t>
  </si>
  <si>
    <t>A Moddel esetén (8 hónap munka )</t>
  </si>
  <si>
    <t>napelem</t>
  </si>
  <si>
    <t>építés</t>
  </si>
  <si>
    <t>zöld részek</t>
  </si>
  <si>
    <t xml:space="preserve">kicsi </t>
  </si>
  <si>
    <t>nagy</t>
  </si>
  <si>
    <t>pici</t>
  </si>
  <si>
    <t>Anyag költség</t>
  </si>
  <si>
    <t>Egyébb költségek építkezés /óra</t>
  </si>
  <si>
    <t>Építkezés idő (óra)</t>
  </si>
  <si>
    <t>kőmüves</t>
  </si>
  <si>
    <t>/óra</t>
  </si>
  <si>
    <t>változó</t>
  </si>
  <si>
    <t>Egység ár</t>
  </si>
  <si>
    <t>szakipari munkás</t>
  </si>
  <si>
    <t xml:space="preserve">átlag munkanap </t>
  </si>
  <si>
    <t>szocho</t>
  </si>
  <si>
    <t>munka óra</t>
  </si>
  <si>
    <t>szünetek ami ráforitás</t>
  </si>
  <si>
    <t>3 nap</t>
  </si>
  <si>
    <t>4nap</t>
  </si>
  <si>
    <t>3nap</t>
  </si>
  <si>
    <t xml:space="preserve">Építkezés egyébb költségei </t>
  </si>
  <si>
    <t>2nap</t>
  </si>
  <si>
    <t>Építkezés költsége össz</t>
  </si>
  <si>
    <t>1nap</t>
  </si>
  <si>
    <t>Épület</t>
  </si>
  <si>
    <t>Alap</t>
  </si>
  <si>
    <t>Zöld Panel</t>
  </si>
  <si>
    <t>Hossz</t>
  </si>
  <si>
    <t>kicsi</t>
  </si>
  <si>
    <t>szél</t>
  </si>
  <si>
    <t>Építés</t>
  </si>
  <si>
    <t>Telek</t>
  </si>
  <si>
    <t>Terület</t>
  </si>
  <si>
    <t>~m2</t>
  </si>
  <si>
    <t>Magasság</t>
  </si>
  <si>
    <t>m</t>
  </si>
  <si>
    <t>bel mag</t>
  </si>
  <si>
    <t>Épületek</t>
  </si>
  <si>
    <t>Flotta</t>
  </si>
  <si>
    <t>Bmw</t>
  </si>
  <si>
    <t>Bekerülés</t>
  </si>
  <si>
    <t>Bekerülési érték</t>
  </si>
  <si>
    <t>/db</t>
  </si>
  <si>
    <t>Maradvány/db</t>
  </si>
  <si>
    <t>Kulcs</t>
  </si>
  <si>
    <t>23-ban eladjuk</t>
  </si>
  <si>
    <t>Eladási ár /db</t>
  </si>
  <si>
    <t>BMW</t>
  </si>
  <si>
    <t>2024 től 3</t>
  </si>
  <si>
    <t>Db</t>
  </si>
  <si>
    <t>Tesla</t>
  </si>
  <si>
    <t xml:space="preserve">Eladási ár </t>
  </si>
  <si>
    <t>Épület Écs</t>
  </si>
  <si>
    <t>kulcs</t>
  </si>
  <si>
    <t>Flotta Écs</t>
  </si>
  <si>
    <t>Écs (személy)</t>
  </si>
  <si>
    <t xml:space="preserve">Raktár </t>
  </si>
  <si>
    <t>CITROËN Ë-JUMPER 1</t>
  </si>
  <si>
    <t>CITROËN Ë-JUMPER 2</t>
  </si>
  <si>
    <t>Bekerülés 1</t>
  </si>
  <si>
    <t>CITROËN Ë-JUMPER 3</t>
  </si>
  <si>
    <t>Bmw 1</t>
  </si>
  <si>
    <t>Bekerülés 2</t>
  </si>
  <si>
    <t>Bmw 2</t>
  </si>
  <si>
    <t>NISSAN Townstar EV 1</t>
  </si>
  <si>
    <t>NISSAN Townstar EV 2</t>
  </si>
  <si>
    <t>Tesla 1</t>
  </si>
  <si>
    <t>NISSAN Townstar EV 3</t>
  </si>
  <si>
    <t>Tesla 2</t>
  </si>
  <si>
    <t xml:space="preserve">Iroda ezsköz </t>
  </si>
  <si>
    <t>NISSAN Townstar EV 4</t>
  </si>
  <si>
    <t>Tesla 3</t>
  </si>
  <si>
    <t>maradvány</t>
  </si>
  <si>
    <t>leírás idő</t>
  </si>
  <si>
    <t>össz</t>
  </si>
  <si>
    <t>VOLVO FH Electric 1</t>
  </si>
  <si>
    <t>VOLVO FH Electric 2</t>
  </si>
  <si>
    <t>Mérleghez</t>
  </si>
  <si>
    <t xml:space="preserve">db </t>
  </si>
  <si>
    <t>FUSO eCanter 1</t>
  </si>
  <si>
    <t>FUSO eCanter 2</t>
  </si>
  <si>
    <t>Marketing terv</t>
  </si>
  <si>
    <t>Költségek diverzifikációja</t>
  </si>
  <si>
    <t xml:space="preserve"> - weboldal </t>
  </si>
  <si>
    <t xml:space="preserve"> - online hirdetések</t>
  </si>
  <si>
    <t xml:space="preserve"> - hírlevelek</t>
  </si>
  <si>
    <t>Visual, social</t>
  </si>
  <si>
    <t xml:space="preserve"> - plakátok</t>
  </si>
  <si>
    <t xml:space="preserve"> - hirdetőtáblák</t>
  </si>
  <si>
    <t xml:space="preserve"> - rendezvények</t>
  </si>
  <si>
    <t>PR</t>
  </si>
  <si>
    <t xml:space="preserve"> - hetilapok</t>
  </si>
  <si>
    <t xml:space="preserve"> - média publikációk</t>
  </si>
  <si>
    <t>Célcsoportok</t>
  </si>
  <si>
    <t>Vállalati ügyfelek B2B</t>
  </si>
  <si>
    <t xml:space="preserve"> - cégek</t>
  </si>
  <si>
    <t xml:space="preserve"> - turizmussal foglalkozó vállalkozások</t>
  </si>
  <si>
    <t>Intézményi</t>
  </si>
  <si>
    <t xml:space="preserve"> - önkormányzatok</t>
  </si>
  <si>
    <t xml:space="preserve"> - közintézmények</t>
  </si>
  <si>
    <t>Magánszemélyek B2C</t>
  </si>
  <si>
    <t>Alvállalkozói partnerek</t>
  </si>
  <si>
    <t xml:space="preserve"> - tanácsadók</t>
  </si>
  <si>
    <t xml:space="preserve"> - belső építészek</t>
  </si>
  <si>
    <t>Versenytársak</t>
  </si>
  <si>
    <t>alkalmazásuk ???</t>
  </si>
  <si>
    <t>Óbuda Group</t>
  </si>
  <si>
    <t>KÉSZ Csoport</t>
  </si>
  <si>
    <t>BHomeGenerál</t>
  </si>
  <si>
    <t>SWOT</t>
  </si>
  <si>
    <t xml:space="preserve"> - Partnerek</t>
  </si>
  <si>
    <t>Erősségek</t>
  </si>
  <si>
    <t xml:space="preserve"> - Niche terület</t>
  </si>
  <si>
    <t xml:space="preserve"> - Magas márkaérték</t>
  </si>
  <si>
    <t xml:space="preserve"> - Hosszú építési periódusok</t>
  </si>
  <si>
    <t>Gyengeségek</t>
  </si>
  <si>
    <t xml:space="preserve"> - Kommunikáció rétegessége</t>
  </si>
  <si>
    <t xml:space="preserve"> - Függés az alvállalkozóktól</t>
  </si>
  <si>
    <t xml:space="preserve"> - Kevés versenytárs a piacon </t>
  </si>
  <si>
    <t>Lehetőségek</t>
  </si>
  <si>
    <t xml:space="preserve"> - ESG központúság</t>
  </si>
  <si>
    <t xml:space="preserve"> - Növekvő állami támogatások</t>
  </si>
  <si>
    <t xml:space="preserve"> - Magas tőkeigény</t>
  </si>
  <si>
    <t>Veszélyek</t>
  </si>
  <si>
    <t xml:space="preserve"> - Építőanyag áringadozás</t>
  </si>
  <si>
    <t xml:space="preserve"> - Gazdasági ingadozások</t>
  </si>
  <si>
    <t xml:space="preserve"> </t>
  </si>
  <si>
    <t>Támogatások</t>
  </si>
  <si>
    <t>t</t>
  </si>
  <si>
    <t>TőketörlesztésTt</t>
  </si>
  <si>
    <t>Kamattörlesztés Zt</t>
  </si>
  <si>
    <t>Törlesztőrészlet Ct</t>
  </si>
  <si>
    <t>Hiteltartozás Kt</t>
  </si>
  <si>
    <t>Kamatláb r</t>
  </si>
  <si>
    <t xml:space="preserve"> periódus keresztül törlesztendő hitelösszeg: </t>
  </si>
  <si>
    <t>Tőltő</t>
  </si>
  <si>
    <t>Ön</t>
  </si>
  <si>
    <t>Támogatás</t>
  </si>
  <si>
    <t>Össz:</t>
  </si>
  <si>
    <t>Belső megtérülés</t>
  </si>
  <si>
    <t>Befektetés</t>
  </si>
  <si>
    <t>Osztalék</t>
  </si>
  <si>
    <t>Cash Flow</t>
  </si>
  <si>
    <t>Egyenleg</t>
  </si>
  <si>
    <t>DSCR</t>
  </si>
  <si>
    <t>Eredmény</t>
  </si>
  <si>
    <t>Ered+Écs</t>
  </si>
  <si>
    <t xml:space="preserve">Hitel vissza </t>
  </si>
  <si>
    <t>ROIC</t>
  </si>
  <si>
    <t>Sulyozott Tőke</t>
  </si>
  <si>
    <t>MOIC</t>
  </si>
  <si>
    <t>Exit</t>
  </si>
  <si>
    <t>Gazdasági mérleg</t>
  </si>
  <si>
    <t>Befektetett eszközök+Készlet</t>
  </si>
  <si>
    <t>Saját források</t>
  </si>
  <si>
    <t>Forgótőke</t>
  </si>
  <si>
    <t>Finanszírozási köt.</t>
  </si>
  <si>
    <t>Pénzeszközök</t>
  </si>
  <si>
    <t>Eszközök összesen</t>
  </si>
  <si>
    <t>Források összesen</t>
  </si>
  <si>
    <t>2022-2023</t>
  </si>
  <si>
    <t>BE változása</t>
  </si>
  <si>
    <t>Saját tőke változása</t>
  </si>
  <si>
    <t>Forgótőke változása</t>
  </si>
  <si>
    <t>Hitelállomány</t>
  </si>
  <si>
    <t>Pénzeszközök változása</t>
  </si>
  <si>
    <t>2023-2024</t>
  </si>
  <si>
    <t>Növekedés 2022</t>
  </si>
  <si>
    <t>Visszaforgatott profit</t>
  </si>
  <si>
    <t>Belső növekedés</t>
  </si>
  <si>
    <t>Osztalékfizetési ráta</t>
  </si>
  <si>
    <t>fund flow</t>
  </si>
  <si>
    <t>Pénzeszközök forrása</t>
  </si>
  <si>
    <t>Pénzeszközök felhasználása</t>
  </si>
  <si>
    <t>Adózott eredmény</t>
  </si>
  <si>
    <t>Saját tőke</t>
  </si>
  <si>
    <t>ÉCS</t>
  </si>
  <si>
    <t>Vevők</t>
  </si>
  <si>
    <t>Kötelezettségek</t>
  </si>
  <si>
    <t>HLK</t>
  </si>
  <si>
    <t>RLK</t>
  </si>
  <si>
    <t>Kieg inf</t>
  </si>
  <si>
    <t>Hitel</t>
  </si>
  <si>
    <t>Kötelezetség korigáció</t>
  </si>
  <si>
    <t>Fenntartható növekedés</t>
  </si>
  <si>
    <t>CF</t>
  </si>
  <si>
    <t>Növekedés 2023</t>
  </si>
  <si>
    <t>Növekedés 2024</t>
  </si>
  <si>
    <t>65q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</si>
</sst>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Ft&quot;;[Red]\-#,##0\ &quot;Ft&quot;"/>
    <numFmt numFmtId="8" formatCode="#,##0.00\ &quot;Ft&quot;;[Red]\-#,##0.00\ &quot;Ft&quot;"/>
    <numFmt numFmtId="44" formatCode="_-* #,##0.00\ &quot;Ft&quot;_-;\-* #,##0.00\ &quot;Ft&quot;_-;_-* &quot;-&quot;??\ &quot;Ft&quot;_-;_-@_-"/>
    <numFmt numFmtId="164" formatCode="0.0000"/>
    <numFmt numFmtId="165" formatCode="#,##0\ &quot;Ft&quot;"/>
    <numFmt numFmtId="166" formatCode="0.0%"/>
    <numFmt numFmtId="167" formatCode="0.000"/>
    <numFmt numFmtId="168" formatCode="0.0"/>
  </numFmts>
  <fonts count="6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i/>
      <sz val="11"/>
      <color theme="1"/>
      <name val="Calibri"/>
      <family val="2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sz val="11"/>
      <color rgb="FF000000"/>
      <name val="Aptos Narrow"/>
      <charset val="1"/>
    </font>
    <font>
      <sz val="11"/>
      <color rgb="FF000000"/>
      <name val="Aptos Narrow"/>
      <family val="2"/>
      <scheme val="minor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C65911"/>
      <name val="Calibri"/>
      <family val="2"/>
      <charset val="238"/>
    </font>
    <font>
      <i/>
      <sz val="11"/>
      <color rgb="FFC65911"/>
      <name val="Calibri"/>
      <family val="2"/>
      <charset val="238"/>
    </font>
    <font>
      <sz val="11"/>
      <color rgb="FFC65911"/>
      <name val="Calibri"/>
      <family val="2"/>
      <charset val="238"/>
    </font>
    <font>
      <i/>
      <sz val="11"/>
      <color rgb="FFBFBFBF"/>
      <name val="Calibri"/>
      <family val="2"/>
      <charset val="238"/>
    </font>
    <font>
      <sz val="11"/>
      <color rgb="FFBFBFBF"/>
      <name val="Calibri"/>
      <family val="2"/>
      <charset val="238"/>
    </font>
    <font>
      <b/>
      <sz val="11"/>
      <color rgb="FF3A3838"/>
      <name val="Calibri"/>
      <family val="2"/>
      <charset val="238"/>
    </font>
    <font>
      <b/>
      <sz val="11"/>
      <color rgb="FF806000"/>
      <name val="Calibri"/>
      <family val="2"/>
      <charset val="238"/>
    </font>
    <font>
      <b/>
      <sz val="11"/>
      <color rgb="FF1F4E78"/>
      <name val="Calibri"/>
      <family val="2"/>
      <charset val="238"/>
    </font>
    <font>
      <i/>
      <sz val="11"/>
      <color rgb="FF1F4E78"/>
      <name val="Calibri"/>
      <family val="2"/>
      <charset val="238"/>
    </font>
    <font>
      <sz val="11"/>
      <color rgb="FF1F4E78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548235"/>
      <name val="Calibri"/>
      <family val="2"/>
      <charset val="238"/>
    </font>
    <font>
      <i/>
      <sz val="11"/>
      <color rgb="FF548235"/>
      <name val="Calibri"/>
      <family val="2"/>
      <charset val="238"/>
    </font>
    <font>
      <sz val="11"/>
      <color rgb="FF548235"/>
      <name val="Calibri"/>
      <family val="2"/>
      <charset val="238"/>
    </font>
    <font>
      <b/>
      <sz val="11"/>
      <color rgb="FF203764"/>
      <name val="Calibri"/>
      <family val="2"/>
      <charset val="238"/>
    </font>
    <font>
      <i/>
      <sz val="11"/>
      <color rgb="FF203764"/>
      <name val="Calibri"/>
      <family val="2"/>
      <charset val="238"/>
    </font>
    <font>
      <sz val="11"/>
      <color rgb="FF203764"/>
      <name val="Calibri"/>
      <family val="2"/>
      <charset val="238"/>
    </font>
    <font>
      <b/>
      <sz val="11"/>
      <color rgb="FF375623"/>
      <name val="Calibri"/>
      <family val="2"/>
      <charset val="238"/>
    </font>
    <font>
      <i/>
      <sz val="11"/>
      <color rgb="FF375623"/>
      <name val="Calibri"/>
      <family val="2"/>
      <charset val="238"/>
    </font>
    <font>
      <sz val="11"/>
      <color rgb="FF375623"/>
      <name val="Calibri"/>
      <family val="2"/>
      <charset val="238"/>
    </font>
    <font>
      <b/>
      <sz val="11"/>
      <color rgb="FFC00000"/>
      <name val="Calibri"/>
      <family val="2"/>
      <charset val="238"/>
    </font>
    <font>
      <i/>
      <sz val="11"/>
      <color rgb="FFC00000"/>
      <name val="Calibri"/>
      <family val="2"/>
      <charset val="238"/>
    </font>
    <font>
      <sz val="11"/>
      <color rgb="FFC00000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i/>
      <sz val="11"/>
      <color rgb="FF757171"/>
      <name val="Calibri"/>
      <family val="2"/>
      <charset val="238"/>
    </font>
    <font>
      <sz val="11"/>
      <color rgb="FF000000"/>
      <name val="Calibri"/>
      <charset val="238"/>
    </font>
    <font>
      <b/>
      <sz val="11"/>
      <color rgb="FF000000"/>
      <name val="Calibri"/>
      <charset val="238"/>
    </font>
    <font>
      <b/>
      <sz val="11"/>
      <color rgb="FF000000"/>
      <name val="Aptos Narrow"/>
      <charset val="1"/>
    </font>
    <font>
      <sz val="11"/>
      <color rgb="FF000000"/>
      <name val="Calibri"/>
      <charset val="1"/>
    </font>
    <font>
      <sz val="14"/>
      <color rgb="FF000000"/>
      <name val="Aptos Narrow"/>
      <scheme val="minor"/>
    </font>
    <font>
      <sz val="8"/>
      <name val="Aptos Narrow"/>
      <family val="2"/>
      <scheme val="minor"/>
    </font>
    <font>
      <i/>
      <sz val="11"/>
      <color rgb="FF000000"/>
      <name val="Calibri"/>
      <charset val="238"/>
    </font>
    <font>
      <b/>
      <sz val="10"/>
      <color theme="1"/>
      <name val="Arial"/>
    </font>
    <font>
      <b/>
      <i/>
      <sz val="10"/>
      <color theme="1"/>
      <name val="Arial"/>
    </font>
    <font>
      <b/>
      <sz val="10"/>
      <color rgb="FFFFFFFF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name val="MS Sans Serif"/>
      <charset val="238"/>
    </font>
    <font>
      <sz val="10"/>
      <color theme="1"/>
      <name val="Arial"/>
    </font>
  </fonts>
  <fills count="2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5691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F75B5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7" tint="0.39997558519241921"/>
        <bgColor indexed="64"/>
      </patternFill>
    </fill>
  </fills>
  <borders count="1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63" fillId="0" borderId="0"/>
    <xf numFmtId="44" fontId="63" fillId="0" borderId="0" applyFont="0" applyFill="0" applyBorder="0" applyAlignment="0" applyProtection="0"/>
  </cellStyleXfs>
  <cellXfs count="835">
    <xf numFmtId="0" fontId="0" fillId="0" borderId="0" xfId="0"/>
    <xf numFmtId="0" fontId="6" fillId="3" borderId="8" xfId="0" applyFont="1" applyFill="1" applyBorder="1" applyAlignment="1">
      <alignment horizontal="right" wrapText="1"/>
    </xf>
    <xf numFmtId="0" fontId="6" fillId="3" borderId="9" xfId="0" applyFont="1" applyFill="1" applyBorder="1" applyAlignment="1">
      <alignment horizontal="right" wrapText="1"/>
    </xf>
    <xf numFmtId="0" fontId="0" fillId="4" borderId="26" xfId="0" applyFill="1" applyBorder="1"/>
    <xf numFmtId="0" fontId="0" fillId="4" borderId="19" xfId="0" applyFill="1" applyBorder="1"/>
    <xf numFmtId="0" fontId="0" fillId="5" borderId="5" xfId="0" applyFill="1" applyBorder="1"/>
    <xf numFmtId="0" fontId="1" fillId="5" borderId="1" xfId="0" applyFont="1" applyFill="1" applyBorder="1"/>
    <xf numFmtId="0" fontId="1" fillId="5" borderId="6" xfId="0" applyFont="1" applyFill="1" applyBorder="1"/>
    <xf numFmtId="0" fontId="0" fillId="5" borderId="7" xfId="0" applyFill="1" applyBorder="1"/>
    <xf numFmtId="0" fontId="0" fillId="5" borderId="20" xfId="0" applyFill="1" applyBorder="1"/>
    <xf numFmtId="0" fontId="0" fillId="5" borderId="14" xfId="0" applyFill="1" applyBorder="1"/>
    <xf numFmtId="0" fontId="0" fillId="5" borderId="18" xfId="0" applyFill="1" applyBorder="1"/>
    <xf numFmtId="0" fontId="5" fillId="5" borderId="16" xfId="0" applyFont="1" applyFill="1" applyBorder="1" applyAlignment="1">
      <alignment horizontal="right" wrapText="1"/>
    </xf>
    <xf numFmtId="0" fontId="5" fillId="5" borderId="13" xfId="0" applyFont="1" applyFill="1" applyBorder="1" applyAlignment="1">
      <alignment horizontal="right" wrapText="1"/>
    </xf>
    <xf numFmtId="0" fontId="5" fillId="5" borderId="18" xfId="0" applyFont="1" applyFill="1" applyBorder="1" applyAlignment="1">
      <alignment horizontal="right" wrapText="1"/>
    </xf>
    <xf numFmtId="0" fontId="1" fillId="5" borderId="28" xfId="0" applyFont="1" applyFill="1" applyBorder="1"/>
    <xf numFmtId="0" fontId="1" fillId="5" borderId="34" xfId="0" applyFont="1" applyFill="1" applyBorder="1"/>
    <xf numFmtId="0" fontId="1" fillId="5" borderId="35" xfId="0" applyFont="1" applyFill="1" applyBorder="1"/>
    <xf numFmtId="0" fontId="1" fillId="5" borderId="36" xfId="0" applyFont="1" applyFill="1" applyBorder="1"/>
    <xf numFmtId="10" fontId="0" fillId="7" borderId="38" xfId="0" applyNumberFormat="1" applyFill="1" applyBorder="1"/>
    <xf numFmtId="10" fontId="0" fillId="7" borderId="39" xfId="0" applyNumberFormat="1" applyFill="1" applyBorder="1"/>
    <xf numFmtId="0" fontId="0" fillId="5" borderId="28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8" borderId="33" xfId="0" applyFill="1" applyBorder="1"/>
    <xf numFmtId="0" fontId="0" fillId="8" borderId="43" xfId="0" applyFill="1" applyBorder="1"/>
    <xf numFmtId="0" fontId="0" fillId="8" borderId="44" xfId="0" applyFill="1" applyBorder="1"/>
    <xf numFmtId="0" fontId="0" fillId="8" borderId="45" xfId="0" applyFill="1" applyBorder="1"/>
    <xf numFmtId="0" fontId="0" fillId="9" borderId="46" xfId="0" applyFill="1" applyBorder="1"/>
    <xf numFmtId="0" fontId="1" fillId="7" borderId="28" xfId="0" applyFont="1" applyFill="1" applyBorder="1"/>
    <xf numFmtId="10" fontId="0" fillId="7" borderId="47" xfId="0" applyNumberFormat="1" applyFill="1" applyBorder="1"/>
    <xf numFmtId="10" fontId="0" fillId="7" borderId="48" xfId="0" applyNumberFormat="1" applyFill="1" applyBorder="1"/>
    <xf numFmtId="2" fontId="0" fillId="7" borderId="44" xfId="0" applyNumberFormat="1" applyFill="1" applyBorder="1"/>
    <xf numFmtId="2" fontId="0" fillId="7" borderId="45" xfId="0" applyNumberFormat="1" applyFill="1" applyBorder="1"/>
    <xf numFmtId="10" fontId="0" fillId="7" borderId="37" xfId="0" applyNumberFormat="1" applyFill="1" applyBorder="1"/>
    <xf numFmtId="10" fontId="0" fillId="7" borderId="49" xfId="0" applyNumberFormat="1" applyFill="1" applyBorder="1"/>
    <xf numFmtId="2" fontId="0" fillId="7" borderId="42" xfId="0" applyNumberFormat="1" applyFill="1" applyBorder="1"/>
    <xf numFmtId="0" fontId="1" fillId="7" borderId="46" xfId="0" applyFont="1" applyFill="1" applyBorder="1"/>
    <xf numFmtId="2" fontId="0" fillId="7" borderId="29" xfId="0" applyNumberFormat="1" applyFill="1" applyBorder="1"/>
    <xf numFmtId="2" fontId="0" fillId="7" borderId="40" xfId="0" applyNumberFormat="1" applyFill="1" applyBorder="1"/>
    <xf numFmtId="2" fontId="0" fillId="7" borderId="41" xfId="0" applyNumberFormat="1" applyFill="1" applyBorder="1"/>
    <xf numFmtId="0" fontId="0" fillId="0" borderId="56" xfId="0" applyBorder="1"/>
    <xf numFmtId="0" fontId="0" fillId="0" borderId="57" xfId="0" applyBorder="1"/>
    <xf numFmtId="0" fontId="10" fillId="0" borderId="19" xfId="0" applyFont="1" applyBorder="1"/>
    <xf numFmtId="0" fontId="0" fillId="0" borderId="19" xfId="0" applyBorder="1"/>
    <xf numFmtId="0" fontId="10" fillId="0" borderId="20" xfId="0" applyFont="1" applyBorder="1"/>
    <xf numFmtId="0" fontId="0" fillId="0" borderId="20" xfId="0" applyBorder="1"/>
    <xf numFmtId="0" fontId="10" fillId="0" borderId="26" xfId="0" applyFont="1" applyBorder="1"/>
    <xf numFmtId="0" fontId="0" fillId="0" borderId="25" xfId="0" applyBorder="1"/>
    <xf numFmtId="0" fontId="10" fillId="0" borderId="21" xfId="0" applyFont="1" applyBorder="1"/>
    <xf numFmtId="0" fontId="0" fillId="0" borderId="22" xfId="0" applyBorder="1"/>
    <xf numFmtId="0" fontId="10" fillId="0" borderId="21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0" fillId="2" borderId="3" xfId="0" applyFill="1" applyBorder="1"/>
    <xf numFmtId="0" fontId="0" fillId="2" borderId="4" xfId="0" applyFill="1" applyBorder="1"/>
    <xf numFmtId="0" fontId="10" fillId="2" borderId="5" xfId="0" applyFont="1" applyFill="1" applyBorder="1"/>
    <xf numFmtId="0" fontId="0" fillId="2" borderId="1" xfId="0" applyFill="1" applyBorder="1"/>
    <xf numFmtId="0" fontId="0" fillId="2" borderId="6" xfId="0" applyFill="1" applyBorder="1"/>
    <xf numFmtId="10" fontId="0" fillId="2" borderId="1" xfId="1" applyNumberFormat="1" applyFont="1" applyFill="1" applyBorder="1"/>
    <xf numFmtId="0" fontId="10" fillId="2" borderId="7" xfId="0" applyFont="1" applyFill="1" applyBorder="1"/>
    <xf numFmtId="10" fontId="0" fillId="2" borderId="59" xfId="1" applyNumberFormat="1" applyFont="1" applyFill="1" applyBorder="1"/>
    <xf numFmtId="0" fontId="0" fillId="2" borderId="59" xfId="0" applyFill="1" applyBorder="1"/>
    <xf numFmtId="0" fontId="0" fillId="2" borderId="60" xfId="0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0" fillId="2" borderId="1" xfId="0" applyFont="1" applyFill="1" applyBorder="1"/>
    <xf numFmtId="0" fontId="10" fillId="2" borderId="59" xfId="0" applyFont="1" applyFill="1" applyBorder="1"/>
    <xf numFmtId="0" fontId="10" fillId="2" borderId="8" xfId="0" applyFont="1" applyFill="1" applyBorder="1" applyAlignment="1">
      <alignment vertical="center"/>
    </xf>
    <xf numFmtId="10" fontId="0" fillId="2" borderId="9" xfId="1" applyNumberFormat="1" applyFont="1" applyFill="1" applyBorder="1"/>
    <xf numFmtId="0" fontId="10" fillId="2" borderId="9" xfId="0" applyFont="1" applyFill="1" applyBorder="1" applyAlignment="1">
      <alignment vertical="center"/>
    </xf>
    <xf numFmtId="0" fontId="0" fillId="2" borderId="10" xfId="0" applyFill="1" applyBorder="1"/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0" fillId="2" borderId="7" xfId="0" applyFill="1" applyBorder="1"/>
    <xf numFmtId="10" fontId="0" fillId="2" borderId="60" xfId="1" applyNumberFormat="1" applyFont="1" applyFill="1" applyBorder="1"/>
    <xf numFmtId="0" fontId="1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0" fillId="3" borderId="5" xfId="0" applyFont="1" applyFill="1" applyBorder="1"/>
    <xf numFmtId="0" fontId="0" fillId="3" borderId="1" xfId="0" applyFill="1" applyBorder="1"/>
    <xf numFmtId="0" fontId="0" fillId="3" borderId="6" xfId="0" applyFill="1" applyBorder="1"/>
    <xf numFmtId="10" fontId="0" fillId="3" borderId="1" xfId="1" applyNumberFormat="1" applyFont="1" applyFill="1" applyBorder="1"/>
    <xf numFmtId="0" fontId="10" fillId="3" borderId="7" xfId="0" applyFont="1" applyFill="1" applyBorder="1"/>
    <xf numFmtId="10" fontId="0" fillId="3" borderId="59" xfId="1" applyNumberFormat="1" applyFont="1" applyFill="1" applyBorder="1"/>
    <xf numFmtId="0" fontId="0" fillId="3" borderId="59" xfId="0" applyFill="1" applyBorder="1"/>
    <xf numFmtId="0" fontId="0" fillId="3" borderId="60" xfId="0" applyFill="1" applyBorder="1"/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1" xfId="0" applyFont="1" applyFill="1" applyBorder="1"/>
    <xf numFmtId="0" fontId="10" fillId="3" borderId="8" xfId="0" applyFont="1" applyFill="1" applyBorder="1" applyAlignment="1">
      <alignment vertical="center"/>
    </xf>
    <xf numFmtId="10" fontId="0" fillId="3" borderId="9" xfId="1" applyNumberFormat="1" applyFont="1" applyFill="1" applyBorder="1"/>
    <xf numFmtId="0" fontId="0" fillId="3" borderId="9" xfId="0" applyFill="1" applyBorder="1"/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0" fontId="0" fillId="3" borderId="60" xfId="1" applyNumberFormat="1" applyFont="1" applyFill="1" applyBorder="1"/>
    <xf numFmtId="0" fontId="0" fillId="3" borderId="10" xfId="0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3" borderId="5" xfId="0" applyFill="1" applyBorder="1"/>
    <xf numFmtId="0" fontId="1" fillId="3" borderId="7" xfId="0" applyFont="1" applyFill="1" applyBorder="1"/>
    <xf numFmtId="0" fontId="1" fillId="3" borderId="59" xfId="0" applyFont="1" applyFill="1" applyBorder="1"/>
    <xf numFmtId="0" fontId="1" fillId="3" borderId="60" xfId="0" applyFont="1" applyFill="1" applyBorder="1"/>
    <xf numFmtId="0" fontId="0" fillId="3" borderId="2" xfId="0" applyFill="1" applyBorder="1"/>
    <xf numFmtId="3" fontId="10" fillId="3" borderId="1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3" fontId="10" fillId="3" borderId="59" xfId="0" applyNumberFormat="1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0" fillId="2" borderId="5" xfId="0" applyFill="1" applyBorder="1"/>
    <xf numFmtId="0" fontId="1" fillId="2" borderId="7" xfId="0" applyFont="1" applyFill="1" applyBorder="1"/>
    <xf numFmtId="0" fontId="1" fillId="2" borderId="59" xfId="0" applyFont="1" applyFill="1" applyBorder="1"/>
    <xf numFmtId="0" fontId="1" fillId="2" borderId="60" xfId="0" applyFont="1" applyFill="1" applyBorder="1"/>
    <xf numFmtId="0" fontId="0" fillId="2" borderId="2" xfId="0" applyFill="1" applyBorder="1"/>
    <xf numFmtId="3" fontId="10" fillId="2" borderId="1" xfId="0" applyNumberFormat="1" applyFont="1" applyFill="1" applyBorder="1" applyAlignment="1">
      <alignment vertical="center"/>
    </xf>
    <xf numFmtId="3" fontId="10" fillId="2" borderId="6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3" fontId="10" fillId="2" borderId="59" xfId="0" applyNumberFormat="1" applyFont="1" applyFill="1" applyBorder="1" applyAlignment="1">
      <alignment vertical="center"/>
    </xf>
    <xf numFmtId="3" fontId="10" fillId="2" borderId="60" xfId="0" applyNumberFormat="1" applyFont="1" applyFill="1" applyBorder="1" applyAlignment="1">
      <alignment vertical="center"/>
    </xf>
    <xf numFmtId="0" fontId="3" fillId="6" borderId="2" xfId="0" applyFont="1" applyFill="1" applyBorder="1"/>
    <xf numFmtId="0" fontId="3" fillId="6" borderId="3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1" xfId="0" applyFill="1" applyBorder="1"/>
    <xf numFmtId="0" fontId="0" fillId="6" borderId="6" xfId="0" applyFill="1" applyBorder="1"/>
    <xf numFmtId="0" fontId="1" fillId="6" borderId="7" xfId="0" applyFont="1" applyFill="1" applyBorder="1"/>
    <xf numFmtId="0" fontId="1" fillId="6" borderId="59" xfId="0" applyFont="1" applyFill="1" applyBorder="1"/>
    <xf numFmtId="0" fontId="1" fillId="6" borderId="60" xfId="0" applyFont="1" applyFill="1" applyBorder="1"/>
    <xf numFmtId="0" fontId="0" fillId="6" borderId="11" xfId="0" applyFill="1" applyBorder="1"/>
    <xf numFmtId="0" fontId="0" fillId="6" borderId="50" xfId="0" applyFill="1" applyBorder="1"/>
    <xf numFmtId="0" fontId="0" fillId="6" borderId="51" xfId="0" applyFill="1" applyBorder="1"/>
    <xf numFmtId="0" fontId="0" fillId="6" borderId="52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0" fillId="10" borderId="53" xfId="0" applyFill="1" applyBorder="1"/>
    <xf numFmtId="0" fontId="0" fillId="10" borderId="54" xfId="0" applyFill="1" applyBorder="1"/>
    <xf numFmtId="0" fontId="0" fillId="10" borderId="55" xfId="0" applyFill="1" applyBorder="1"/>
    <xf numFmtId="0" fontId="0" fillId="10" borderId="56" xfId="0" applyFill="1" applyBorder="1"/>
    <xf numFmtId="0" fontId="0" fillId="10" borderId="0" xfId="0" applyFill="1"/>
    <xf numFmtId="0" fontId="0" fillId="10" borderId="57" xfId="0" applyFill="1" applyBorder="1"/>
    <xf numFmtId="0" fontId="0" fillId="10" borderId="27" xfId="0" applyFill="1" applyBorder="1"/>
    <xf numFmtId="0" fontId="0" fillId="10" borderId="58" xfId="0" applyFill="1" applyBorder="1"/>
    <xf numFmtId="0" fontId="0" fillId="10" borderId="24" xfId="0" applyFill="1" applyBorder="1"/>
    <xf numFmtId="0" fontId="13" fillId="2" borderId="3" xfId="0" applyFont="1" applyFill="1" applyBorder="1"/>
    <xf numFmtId="0" fontId="10" fillId="2" borderId="4" xfId="0" applyFont="1" applyFill="1" applyBorder="1"/>
    <xf numFmtId="0" fontId="11" fillId="2" borderId="5" xfId="0" applyFont="1" applyFill="1" applyBorder="1"/>
    <xf numFmtId="0" fontId="11" fillId="2" borderId="1" xfId="0" applyFont="1" applyFill="1" applyBorder="1"/>
    <xf numFmtId="0" fontId="10" fillId="2" borderId="6" xfId="0" applyFont="1" applyFill="1" applyBorder="1"/>
    <xf numFmtId="3" fontId="10" fillId="2" borderId="1" xfId="0" applyNumberFormat="1" applyFont="1" applyFill="1" applyBorder="1"/>
    <xf numFmtId="3" fontId="10" fillId="2" borderId="6" xfId="0" applyNumberFormat="1" applyFont="1" applyFill="1" applyBorder="1"/>
    <xf numFmtId="3" fontId="11" fillId="2" borderId="1" xfId="0" applyNumberFormat="1" applyFont="1" applyFill="1" applyBorder="1"/>
    <xf numFmtId="0" fontId="11" fillId="2" borderId="6" xfId="0" applyFont="1" applyFill="1" applyBorder="1"/>
    <xf numFmtId="0" fontId="13" fillId="3" borderId="3" xfId="0" applyFont="1" applyFill="1" applyBorder="1"/>
    <xf numFmtId="0" fontId="10" fillId="3" borderId="4" xfId="0" applyFont="1" applyFill="1" applyBorder="1"/>
    <xf numFmtId="0" fontId="11" fillId="3" borderId="5" xfId="0" applyFont="1" applyFill="1" applyBorder="1"/>
    <xf numFmtId="0" fontId="11" fillId="3" borderId="1" xfId="0" applyFont="1" applyFill="1" applyBorder="1"/>
    <xf numFmtId="0" fontId="10" fillId="3" borderId="6" xfId="0" applyFont="1" applyFill="1" applyBorder="1"/>
    <xf numFmtId="3" fontId="10" fillId="3" borderId="1" xfId="0" applyNumberFormat="1" applyFont="1" applyFill="1" applyBorder="1"/>
    <xf numFmtId="3" fontId="10" fillId="3" borderId="6" xfId="0" applyNumberFormat="1" applyFont="1" applyFill="1" applyBorder="1"/>
    <xf numFmtId="3" fontId="11" fillId="3" borderId="1" xfId="0" applyNumberFormat="1" applyFont="1" applyFill="1" applyBorder="1"/>
    <xf numFmtId="0" fontId="11" fillId="3" borderId="6" xfId="0" applyFont="1" applyFill="1" applyBorder="1"/>
    <xf numFmtId="0" fontId="0" fillId="7" borderId="1" xfId="0" applyFill="1" applyBorder="1"/>
    <xf numFmtId="0" fontId="1" fillId="7" borderId="2" xfId="0" applyFont="1" applyFill="1" applyBorder="1"/>
    <xf numFmtId="0" fontId="0" fillId="7" borderId="3" xfId="0" applyFill="1" applyBorder="1"/>
    <xf numFmtId="0" fontId="0" fillId="7" borderId="4" xfId="0" applyFill="1" applyBorder="1"/>
    <xf numFmtId="0" fontId="1" fillId="7" borderId="5" xfId="0" applyFont="1" applyFill="1" applyBorder="1"/>
    <xf numFmtId="0" fontId="0" fillId="7" borderId="6" xfId="0" applyFill="1" applyBorder="1"/>
    <xf numFmtId="0" fontId="0" fillId="7" borderId="7" xfId="0" applyFill="1" applyBorder="1"/>
    <xf numFmtId="10" fontId="0" fillId="7" borderId="59" xfId="1" applyNumberFormat="1" applyFont="1" applyFill="1" applyBorder="1"/>
    <xf numFmtId="10" fontId="0" fillId="7" borderId="60" xfId="1" applyNumberFormat="1" applyFont="1" applyFill="1" applyBorder="1"/>
    <xf numFmtId="0" fontId="0" fillId="3" borderId="8" xfId="0" applyFill="1" applyBorder="1"/>
    <xf numFmtId="10" fontId="0" fillId="3" borderId="10" xfId="1" applyNumberFormat="1" applyFont="1" applyFill="1" applyBorder="1"/>
    <xf numFmtId="0" fontId="0" fillId="7" borderId="2" xfId="0" applyFill="1" applyBorder="1"/>
    <xf numFmtId="0" fontId="0" fillId="11" borderId="2" xfId="0" applyFill="1" applyBorder="1"/>
    <xf numFmtId="0" fontId="0" fillId="11" borderId="5" xfId="0" applyFill="1" applyBorder="1"/>
    <xf numFmtId="0" fontId="0" fillId="11" borderId="7" xfId="0" applyFill="1" applyBorder="1"/>
    <xf numFmtId="0" fontId="10" fillId="6" borderId="2" xfId="0" applyFont="1" applyFill="1" applyBorder="1"/>
    <xf numFmtId="0" fontId="13" fillId="6" borderId="3" xfId="0" applyFont="1" applyFill="1" applyBorder="1"/>
    <xf numFmtId="0" fontId="10" fillId="6" borderId="4" xfId="0" applyFont="1" applyFill="1" applyBorder="1"/>
    <xf numFmtId="0" fontId="11" fillId="6" borderId="5" xfId="0" applyFont="1" applyFill="1" applyBorder="1"/>
    <xf numFmtId="0" fontId="11" fillId="6" borderId="1" xfId="0" applyFont="1" applyFill="1" applyBorder="1"/>
    <xf numFmtId="0" fontId="10" fillId="6" borderId="6" xfId="0" applyFont="1" applyFill="1" applyBorder="1"/>
    <xf numFmtId="0" fontId="10" fillId="6" borderId="5" xfId="0" applyFont="1" applyFill="1" applyBorder="1"/>
    <xf numFmtId="0" fontId="10" fillId="6" borderId="1" xfId="0" applyFont="1" applyFill="1" applyBorder="1"/>
    <xf numFmtId="3" fontId="10" fillId="6" borderId="1" xfId="0" applyNumberFormat="1" applyFont="1" applyFill="1" applyBorder="1"/>
    <xf numFmtId="3" fontId="10" fillId="6" borderId="6" xfId="0" applyNumberFormat="1" applyFont="1" applyFill="1" applyBorder="1"/>
    <xf numFmtId="3" fontId="11" fillId="6" borderId="1" xfId="0" applyNumberFormat="1" applyFont="1" applyFill="1" applyBorder="1"/>
    <xf numFmtId="0" fontId="11" fillId="6" borderId="6" xfId="0" applyFont="1" applyFill="1" applyBorder="1"/>
    <xf numFmtId="0" fontId="0" fillId="6" borderId="59" xfId="0" applyFill="1" applyBorder="1"/>
    <xf numFmtId="0" fontId="0" fillId="6" borderId="60" xfId="0" applyFill="1" applyBorder="1"/>
    <xf numFmtId="1" fontId="10" fillId="6" borderId="1" xfId="0" applyNumberFormat="1" applyFont="1" applyFill="1" applyBorder="1"/>
    <xf numFmtId="3" fontId="0" fillId="7" borderId="59" xfId="0" applyNumberFormat="1" applyFill="1" applyBorder="1"/>
    <xf numFmtId="3" fontId="0" fillId="7" borderId="60" xfId="0" applyNumberFormat="1" applyFill="1" applyBorder="1"/>
    <xf numFmtId="3" fontId="6" fillId="6" borderId="23" xfId="0" applyNumberFormat="1" applyFont="1" applyFill="1" applyBorder="1" applyAlignment="1">
      <alignment horizontal="right" wrapText="1"/>
    </xf>
    <xf numFmtId="3" fontId="6" fillId="6" borderId="12" xfId="0" applyNumberFormat="1" applyFont="1" applyFill="1" applyBorder="1" applyAlignment="1">
      <alignment horizontal="right" wrapText="1"/>
    </xf>
    <xf numFmtId="3" fontId="6" fillId="6" borderId="16" xfId="0" applyNumberFormat="1" applyFont="1" applyFill="1" applyBorder="1" applyAlignment="1">
      <alignment horizontal="right" wrapText="1"/>
    </xf>
    <xf numFmtId="3" fontId="6" fillId="6" borderId="13" xfId="0" applyNumberFormat="1" applyFont="1" applyFill="1" applyBorder="1" applyAlignment="1">
      <alignment horizontal="right" wrapText="1"/>
    </xf>
    <xf numFmtId="3" fontId="7" fillId="3" borderId="16" xfId="0" applyNumberFormat="1" applyFont="1" applyFill="1" applyBorder="1" applyAlignment="1">
      <alignment horizontal="right" wrapText="1"/>
    </xf>
    <xf numFmtId="3" fontId="7" fillId="3" borderId="13" xfId="0" applyNumberFormat="1" applyFont="1" applyFill="1" applyBorder="1" applyAlignment="1">
      <alignment horizontal="right" wrapText="1"/>
    </xf>
    <xf numFmtId="3" fontId="6" fillId="6" borderId="15" xfId="0" applyNumberFormat="1" applyFont="1" applyFill="1" applyBorder="1" applyAlignment="1">
      <alignment horizontal="right" wrapText="1"/>
    </xf>
    <xf numFmtId="3" fontId="0" fillId="9" borderId="42" xfId="0" applyNumberFormat="1" applyFill="1" applyBorder="1"/>
    <xf numFmtId="3" fontId="6" fillId="3" borderId="8" xfId="0" applyNumberFormat="1" applyFont="1" applyFill="1" applyBorder="1" applyAlignment="1">
      <alignment horizontal="right" wrapText="1"/>
    </xf>
    <xf numFmtId="3" fontId="6" fillId="3" borderId="9" xfId="0" applyNumberFormat="1" applyFont="1" applyFill="1" applyBorder="1" applyAlignment="1">
      <alignment horizontal="right" wrapText="1"/>
    </xf>
    <xf numFmtId="3" fontId="5" fillId="4" borderId="26" xfId="0" applyNumberFormat="1" applyFont="1" applyFill="1" applyBorder="1" applyAlignment="1">
      <alignment horizontal="right" wrapText="1"/>
    </xf>
    <xf numFmtId="3" fontId="5" fillId="4" borderId="19" xfId="0" applyNumberFormat="1" applyFont="1" applyFill="1" applyBorder="1" applyAlignment="1">
      <alignment horizontal="right" wrapText="1"/>
    </xf>
    <xf numFmtId="3" fontId="5" fillId="4" borderId="5" xfId="0" applyNumberFormat="1" applyFont="1" applyFill="1" applyBorder="1" applyAlignment="1">
      <alignment horizontal="right" wrapText="1"/>
    </xf>
    <xf numFmtId="3" fontId="5" fillId="4" borderId="1" xfId="0" applyNumberFormat="1" applyFont="1" applyFill="1" applyBorder="1" applyAlignment="1">
      <alignment horizontal="right" wrapText="1"/>
    </xf>
    <xf numFmtId="3" fontId="5" fillId="4" borderId="21" xfId="0" applyNumberFormat="1" applyFont="1" applyFill="1" applyBorder="1" applyAlignment="1">
      <alignment horizontal="right" wrapText="1"/>
    </xf>
    <xf numFmtId="3" fontId="5" fillId="4" borderId="20" xfId="0" applyNumberFormat="1" applyFont="1" applyFill="1" applyBorder="1" applyAlignment="1">
      <alignment horizontal="right" wrapText="1"/>
    </xf>
    <xf numFmtId="3" fontId="5" fillId="3" borderId="8" xfId="0" applyNumberFormat="1" applyFont="1" applyFill="1" applyBorder="1" applyAlignment="1">
      <alignment horizontal="right" wrapText="1"/>
    </xf>
    <xf numFmtId="3" fontId="5" fillId="3" borderId="9" xfId="0" applyNumberFormat="1" applyFont="1" applyFill="1" applyBorder="1" applyAlignment="1">
      <alignment horizontal="right" wrapText="1"/>
    </xf>
    <xf numFmtId="3" fontId="7" fillId="2" borderId="8" xfId="0" applyNumberFormat="1" applyFont="1" applyFill="1" applyBorder="1" applyAlignment="1">
      <alignment horizontal="right" wrapText="1"/>
    </xf>
    <xf numFmtId="3" fontId="7" fillId="2" borderId="9" xfId="0" applyNumberFormat="1" applyFont="1" applyFill="1" applyBorder="1" applyAlignment="1">
      <alignment horizontal="right" wrapText="1"/>
    </xf>
    <xf numFmtId="3" fontId="0" fillId="4" borderId="5" xfId="0" applyNumberFormat="1" applyFill="1" applyBorder="1"/>
    <xf numFmtId="3" fontId="0" fillId="4" borderId="1" xfId="0" applyNumberFormat="1" applyFill="1" applyBorder="1"/>
    <xf numFmtId="164" fontId="0" fillId="11" borderId="1" xfId="0" applyNumberFormat="1" applyFill="1" applyBorder="1"/>
    <xf numFmtId="164" fontId="0" fillId="11" borderId="6" xfId="0" applyNumberFormat="1" applyFill="1" applyBorder="1"/>
    <xf numFmtId="164" fontId="0" fillId="11" borderId="59" xfId="0" applyNumberFormat="1" applyFill="1" applyBorder="1"/>
    <xf numFmtId="164" fontId="0" fillId="11" borderId="60" xfId="0" applyNumberFormat="1" applyFill="1" applyBorder="1"/>
    <xf numFmtId="3" fontId="0" fillId="7" borderId="19" xfId="0" applyNumberFormat="1" applyFill="1" applyBorder="1"/>
    <xf numFmtId="3" fontId="0" fillId="7" borderId="25" xfId="0" applyNumberFormat="1" applyFill="1" applyBorder="1"/>
    <xf numFmtId="0" fontId="0" fillId="7" borderId="61" xfId="0" applyFill="1" applyBorder="1" applyAlignment="1">
      <alignment horizontal="right"/>
    </xf>
    <xf numFmtId="0" fontId="0" fillId="7" borderId="39" xfId="0" applyFill="1" applyBorder="1" applyAlignment="1">
      <alignment horizontal="right"/>
    </xf>
    <xf numFmtId="0" fontId="0" fillId="7" borderId="37" xfId="0" applyFill="1" applyBorder="1" applyAlignment="1">
      <alignment horizontal="right"/>
    </xf>
    <xf numFmtId="164" fontId="0" fillId="11" borderId="19" xfId="0" applyNumberFormat="1" applyFill="1" applyBorder="1"/>
    <xf numFmtId="164" fontId="0" fillId="11" borderId="25" xfId="0" applyNumberFormat="1" applyFill="1" applyBorder="1"/>
    <xf numFmtId="0" fontId="0" fillId="11" borderId="37" xfId="0" applyFill="1" applyBorder="1"/>
    <xf numFmtId="0" fontId="0" fillId="11" borderId="63" xfId="0" applyFill="1" applyBorder="1"/>
    <xf numFmtId="0" fontId="0" fillId="11" borderId="62" xfId="0" applyFill="1" applyBorder="1"/>
    <xf numFmtId="0" fontId="12" fillId="2" borderId="64" xfId="0" applyFont="1" applyFill="1" applyBorder="1"/>
    <xf numFmtId="0" fontId="0" fillId="2" borderId="65" xfId="0" applyFill="1" applyBorder="1"/>
    <xf numFmtId="0" fontId="0" fillId="2" borderId="66" xfId="0" applyFill="1" applyBorder="1"/>
    <xf numFmtId="0" fontId="0" fillId="6" borderId="66" xfId="0" applyFill="1" applyBorder="1"/>
    <xf numFmtId="0" fontId="10" fillId="6" borderId="67" xfId="0" applyFont="1" applyFill="1" applyBorder="1"/>
    <xf numFmtId="0" fontId="12" fillId="6" borderId="64" xfId="0" applyFont="1" applyFill="1" applyBorder="1"/>
    <xf numFmtId="0" fontId="0" fillId="6" borderId="68" xfId="0" applyFill="1" applyBorder="1"/>
    <xf numFmtId="10" fontId="0" fillId="6" borderId="1" xfId="1" applyNumberFormat="1" applyFont="1" applyFill="1" applyBorder="1"/>
    <xf numFmtId="0" fontId="10" fillId="6" borderId="7" xfId="0" applyFont="1" applyFill="1" applyBorder="1"/>
    <xf numFmtId="10" fontId="0" fillId="6" borderId="59" xfId="1" applyNumberFormat="1" applyFont="1" applyFill="1" applyBorder="1"/>
    <xf numFmtId="0" fontId="10" fillId="6" borderId="3" xfId="0" applyFont="1" applyFill="1" applyBorder="1"/>
    <xf numFmtId="0" fontId="10" fillId="6" borderId="59" xfId="0" applyFont="1" applyFill="1" applyBorder="1"/>
    <xf numFmtId="0" fontId="10" fillId="6" borderId="8" xfId="0" applyFont="1" applyFill="1" applyBorder="1" applyAlignment="1">
      <alignment vertical="center"/>
    </xf>
    <xf numFmtId="10" fontId="0" fillId="6" borderId="9" xfId="1" applyNumberFormat="1" applyFont="1" applyFill="1" applyBorder="1"/>
    <xf numFmtId="0" fontId="10" fillId="6" borderId="9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10" fillId="6" borderId="5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0" fillId="6" borderId="7" xfId="0" applyFill="1" applyBorder="1"/>
    <xf numFmtId="10" fontId="0" fillId="6" borderId="60" xfId="1" applyNumberFormat="1" applyFont="1" applyFill="1" applyBorder="1"/>
    <xf numFmtId="0" fontId="0" fillId="0" borderId="53" xfId="0" applyBorder="1"/>
    <xf numFmtId="0" fontId="0" fillId="0" borderId="54" xfId="0" applyBorder="1"/>
    <xf numFmtId="0" fontId="0" fillId="0" borderId="72" xfId="0" applyBorder="1"/>
    <xf numFmtId="0" fontId="1" fillId="2" borderId="5" xfId="0" applyFont="1" applyFill="1" applyBorder="1"/>
    <xf numFmtId="0" fontId="2" fillId="2" borderId="1" xfId="0" applyFont="1" applyFill="1" applyBorder="1"/>
    <xf numFmtId="0" fontId="3" fillId="2" borderId="21" xfId="0" applyFont="1" applyFill="1" applyBorder="1"/>
    <xf numFmtId="0" fontId="0" fillId="2" borderId="20" xfId="0" applyFill="1" applyBorder="1"/>
    <xf numFmtId="0" fontId="3" fillId="2" borderId="20" xfId="0" applyFont="1" applyFill="1" applyBorder="1"/>
    <xf numFmtId="0" fontId="0" fillId="2" borderId="22" xfId="0" applyFill="1" applyBorder="1"/>
    <xf numFmtId="0" fontId="14" fillId="2" borderId="8" xfId="0" applyFont="1" applyFill="1" applyBorder="1"/>
    <xf numFmtId="0" fontId="14" fillId="2" borderId="9" xfId="0" applyFont="1" applyFill="1" applyBorder="1"/>
    <xf numFmtId="0" fontId="2" fillId="2" borderId="26" xfId="0" applyFont="1" applyFill="1" applyBorder="1"/>
    <xf numFmtId="0" fontId="0" fillId="2" borderId="19" xfId="0" applyFill="1" applyBorder="1"/>
    <xf numFmtId="0" fontId="0" fillId="2" borderId="25" xfId="0" applyFill="1" applyBorder="1"/>
    <xf numFmtId="0" fontId="16" fillId="2" borderId="59" xfId="0" applyFont="1" applyFill="1" applyBorder="1"/>
    <xf numFmtId="0" fontId="3" fillId="2" borderId="60" xfId="0" applyFont="1" applyFill="1" applyBorder="1"/>
    <xf numFmtId="0" fontId="2" fillId="2" borderId="2" xfId="0" applyFont="1" applyFill="1" applyBorder="1"/>
    <xf numFmtId="0" fontId="14" fillId="2" borderId="4" xfId="0" applyFont="1" applyFill="1" applyBorder="1"/>
    <xf numFmtId="0" fontId="14" fillId="2" borderId="3" xfId="0" applyFont="1" applyFill="1" applyBorder="1"/>
    <xf numFmtId="0" fontId="2" fillId="2" borderId="5" xfId="0" applyFont="1" applyFill="1" applyBorder="1"/>
    <xf numFmtId="0" fontId="1" fillId="2" borderId="3" xfId="0" applyFont="1" applyFill="1" applyBorder="1"/>
    <xf numFmtId="0" fontId="16" fillId="2" borderId="3" xfId="0" applyFont="1" applyFill="1" applyBorder="1"/>
    <xf numFmtId="0" fontId="3" fillId="2" borderId="4" xfId="0" applyFont="1" applyFill="1" applyBorder="1"/>
    <xf numFmtId="0" fontId="1" fillId="2" borderId="1" xfId="0" applyFont="1" applyFill="1" applyBorder="1"/>
    <xf numFmtId="0" fontId="16" fillId="2" borderId="1" xfId="0" applyFont="1" applyFill="1" applyBorder="1"/>
    <xf numFmtId="0" fontId="3" fillId="2" borderId="6" xfId="0" applyFont="1" applyFill="1" applyBorder="1"/>
    <xf numFmtId="0" fontId="1" fillId="12" borderId="2" xfId="0" applyFont="1" applyFill="1" applyBorder="1"/>
    <xf numFmtId="0" fontId="0" fillId="12" borderId="3" xfId="0" applyFill="1" applyBorder="1"/>
    <xf numFmtId="0" fontId="2" fillId="12" borderId="3" xfId="0" applyFont="1" applyFill="1" applyBorder="1"/>
    <xf numFmtId="0" fontId="0" fillId="12" borderId="4" xfId="0" applyFill="1" applyBorder="1"/>
    <xf numFmtId="0" fontId="0" fillId="12" borderId="5" xfId="0" applyFill="1" applyBorder="1"/>
    <xf numFmtId="0" fontId="0" fillId="12" borderId="1" xfId="0" applyFill="1" applyBorder="1"/>
    <xf numFmtId="0" fontId="0" fillId="12" borderId="6" xfId="0" applyFill="1" applyBorder="1"/>
    <xf numFmtId="0" fontId="3" fillId="12" borderId="5" xfId="0" applyFont="1" applyFill="1" applyBorder="1"/>
    <xf numFmtId="0" fontId="3" fillId="12" borderId="1" xfId="0" applyFont="1" applyFill="1" applyBorder="1"/>
    <xf numFmtId="0" fontId="18" fillId="12" borderId="7" xfId="0" applyFont="1" applyFill="1" applyBorder="1"/>
    <xf numFmtId="0" fontId="0" fillId="12" borderId="59" xfId="0" applyFill="1" applyBorder="1"/>
    <xf numFmtId="0" fontId="18" fillId="12" borderId="59" xfId="0" applyFont="1" applyFill="1" applyBorder="1"/>
    <xf numFmtId="0" fontId="0" fillId="12" borderId="60" xfId="0" applyFill="1" applyBorder="1"/>
    <xf numFmtId="0" fontId="2" fillId="12" borderId="2" xfId="0" applyFont="1" applyFill="1" applyBorder="1"/>
    <xf numFmtId="0" fontId="14" fillId="12" borderId="4" xfId="0" applyFont="1" applyFill="1" applyBorder="1"/>
    <xf numFmtId="0" fontId="0" fillId="12" borderId="21" xfId="0" applyFill="1" applyBorder="1"/>
    <xf numFmtId="0" fontId="0" fillId="12" borderId="20" xfId="0" applyFill="1" applyBorder="1"/>
    <xf numFmtId="0" fontId="1" fillId="12" borderId="22" xfId="0" applyFont="1" applyFill="1" applyBorder="1"/>
    <xf numFmtId="0" fontId="0" fillId="12" borderId="7" xfId="0" applyFill="1" applyBorder="1"/>
    <xf numFmtId="0" fontId="1" fillId="12" borderId="60" xfId="0" applyFont="1" applyFill="1" applyBorder="1"/>
    <xf numFmtId="0" fontId="14" fillId="13" borderId="2" xfId="0" applyFont="1" applyFill="1" applyBorder="1"/>
    <xf numFmtId="0" fontId="0" fillId="13" borderId="3" xfId="0" applyFill="1" applyBorder="1"/>
    <xf numFmtId="0" fontId="0" fillId="13" borderId="4" xfId="0" applyFill="1" applyBorder="1"/>
    <xf numFmtId="0" fontId="0" fillId="13" borderId="5" xfId="0" applyFill="1" applyBorder="1"/>
    <xf numFmtId="0" fontId="0" fillId="13" borderId="1" xfId="0" applyFill="1" applyBorder="1"/>
    <xf numFmtId="0" fontId="14" fillId="13" borderId="6" xfId="0" applyFont="1" applyFill="1" applyBorder="1"/>
    <xf numFmtId="0" fontId="0" fillId="13" borderId="7" xfId="0" applyFill="1" applyBorder="1"/>
    <xf numFmtId="0" fontId="0" fillId="13" borderId="59" xfId="0" applyFill="1" applyBorder="1"/>
    <xf numFmtId="0" fontId="1" fillId="13" borderId="60" xfId="0" applyFont="1" applyFill="1" applyBorder="1"/>
    <xf numFmtId="0" fontId="1" fillId="13" borderId="4" xfId="0" applyFont="1" applyFill="1" applyBorder="1"/>
    <xf numFmtId="0" fontId="0" fillId="13" borderId="6" xfId="0" applyFill="1" applyBorder="1"/>
    <xf numFmtId="0" fontId="0" fillId="13" borderId="26" xfId="0" applyFill="1" applyBorder="1"/>
    <xf numFmtId="0" fontId="0" fillId="13" borderId="19" xfId="0" applyFill="1" applyBorder="1"/>
    <xf numFmtId="0" fontId="0" fillId="13" borderId="25" xfId="0" applyFill="1" applyBorder="1"/>
    <xf numFmtId="0" fontId="1" fillId="13" borderId="2" xfId="0" applyFont="1" applyFill="1" applyBorder="1"/>
    <xf numFmtId="0" fontId="1" fillId="13" borderId="3" xfId="0" applyFont="1" applyFill="1" applyBorder="1"/>
    <xf numFmtId="0" fontId="0" fillId="13" borderId="60" xfId="0" applyFill="1" applyBorder="1"/>
    <xf numFmtId="0" fontId="3" fillId="12" borderId="2" xfId="0" applyFont="1" applyFill="1" applyBorder="1"/>
    <xf numFmtId="0" fontId="3" fillId="12" borderId="4" xfId="0" applyFont="1" applyFill="1" applyBorder="1"/>
    <xf numFmtId="0" fontId="0" fillId="2" borderId="26" xfId="0" applyFill="1" applyBorder="1"/>
    <xf numFmtId="0" fontId="0" fillId="2" borderId="21" xfId="0" applyFill="1" applyBorder="1"/>
    <xf numFmtId="0" fontId="15" fillId="2" borderId="2" xfId="0" applyFont="1" applyFill="1" applyBorder="1"/>
    <xf numFmtId="0" fontId="15" fillId="2" borderId="4" xfId="0" applyFont="1" applyFill="1" applyBorder="1"/>
    <xf numFmtId="0" fontId="15" fillId="2" borderId="7" xfId="0" applyFont="1" applyFill="1" applyBorder="1"/>
    <xf numFmtId="0" fontId="15" fillId="2" borderId="60" xfId="0" applyFont="1" applyFill="1" applyBorder="1"/>
    <xf numFmtId="0" fontId="14" fillId="7" borderId="2" xfId="0" applyFont="1" applyFill="1" applyBorder="1"/>
    <xf numFmtId="0" fontId="14" fillId="7" borderId="4" xfId="0" applyFont="1" applyFill="1" applyBorder="1"/>
    <xf numFmtId="0" fontId="0" fillId="7" borderId="59" xfId="0" applyFill="1" applyBorder="1"/>
    <xf numFmtId="0" fontId="1" fillId="7" borderId="60" xfId="0" applyFont="1" applyFill="1" applyBorder="1"/>
    <xf numFmtId="0" fontId="2" fillId="7" borderId="2" xfId="0" applyFont="1" applyFill="1" applyBorder="1"/>
    <xf numFmtId="0" fontId="0" fillId="7" borderId="5" xfId="0" applyFill="1" applyBorder="1"/>
    <xf numFmtId="0" fontId="14" fillId="5" borderId="2" xfId="0" applyFont="1" applyFill="1" applyBorder="1"/>
    <xf numFmtId="0" fontId="0" fillId="5" borderId="3" xfId="0" applyFill="1" applyBorder="1"/>
    <xf numFmtId="0" fontId="14" fillId="5" borderId="4" xfId="0" applyFont="1" applyFill="1" applyBorder="1"/>
    <xf numFmtId="0" fontId="0" fillId="5" borderId="1" xfId="0" applyFill="1" applyBorder="1"/>
    <xf numFmtId="0" fontId="0" fillId="5" borderId="6" xfId="0" applyFill="1" applyBorder="1"/>
    <xf numFmtId="0" fontId="14" fillId="5" borderId="6" xfId="0" applyFont="1" applyFill="1" applyBorder="1"/>
    <xf numFmtId="0" fontId="0" fillId="5" borderId="59" xfId="0" applyFill="1" applyBorder="1"/>
    <xf numFmtId="0" fontId="0" fillId="5" borderId="60" xfId="0" applyFill="1" applyBorder="1"/>
    <xf numFmtId="0" fontId="17" fillId="5" borderId="69" xfId="0" applyFont="1" applyFill="1" applyBorder="1"/>
    <xf numFmtId="0" fontId="0" fillId="5" borderId="70" xfId="0" applyFill="1" applyBorder="1"/>
    <xf numFmtId="0" fontId="3" fillId="5" borderId="71" xfId="0" applyFont="1" applyFill="1" applyBorder="1"/>
    <xf numFmtId="0" fontId="3" fillId="2" borderId="59" xfId="0" applyFont="1" applyFill="1" applyBorder="1"/>
    <xf numFmtId="0" fontId="0" fillId="12" borderId="22" xfId="0" applyFill="1" applyBorder="1"/>
    <xf numFmtId="0" fontId="0" fillId="12" borderId="37" xfId="0" applyFill="1" applyBorder="1"/>
    <xf numFmtId="0" fontId="0" fillId="12" borderId="39" xfId="0" applyFill="1" applyBorder="1"/>
    <xf numFmtId="0" fontId="0" fillId="12" borderId="40" xfId="0" applyFill="1" applyBorder="1"/>
    <xf numFmtId="0" fontId="0" fillId="12" borderId="41" xfId="0" applyFill="1" applyBorder="1"/>
    <xf numFmtId="0" fontId="0" fillId="12" borderId="73" xfId="0" applyFill="1" applyBorder="1"/>
    <xf numFmtId="0" fontId="0" fillId="12" borderId="75" xfId="0" applyFill="1" applyBorder="1"/>
    <xf numFmtId="0" fontId="0" fillId="14" borderId="37" xfId="0" applyFill="1" applyBorder="1"/>
    <xf numFmtId="0" fontId="0" fillId="14" borderId="38" xfId="0" applyFill="1" applyBorder="1"/>
    <xf numFmtId="0" fontId="0" fillId="14" borderId="39" xfId="0" applyFill="1" applyBorder="1"/>
    <xf numFmtId="0" fontId="0" fillId="14" borderId="40" xfId="0" applyFill="1" applyBorder="1"/>
    <xf numFmtId="0" fontId="0" fillId="14" borderId="29" xfId="0" applyFill="1" applyBorder="1"/>
    <xf numFmtId="0" fontId="0" fillId="14" borderId="41" xfId="0" applyFill="1" applyBorder="1"/>
    <xf numFmtId="0" fontId="0" fillId="14" borderId="73" xfId="0" applyFill="1" applyBorder="1"/>
    <xf numFmtId="0" fontId="0" fillId="14" borderId="74" xfId="0" applyFill="1" applyBorder="1"/>
    <xf numFmtId="0" fontId="0" fillId="14" borderId="75" xfId="0" applyFill="1" applyBorder="1"/>
    <xf numFmtId="1" fontId="0" fillId="0" borderId="0" xfId="0" applyNumberFormat="1"/>
    <xf numFmtId="0" fontId="0" fillId="7" borderId="37" xfId="0" applyFill="1" applyBorder="1"/>
    <xf numFmtId="0" fontId="0" fillId="7" borderId="40" xfId="0" applyFill="1" applyBorder="1"/>
    <xf numFmtId="0" fontId="0" fillId="7" borderId="41" xfId="0" applyFill="1" applyBorder="1"/>
    <xf numFmtId="0" fontId="0" fillId="7" borderId="73" xfId="0" applyFill="1" applyBorder="1"/>
    <xf numFmtId="0" fontId="0" fillId="7" borderId="80" xfId="0" applyFill="1" applyBorder="1"/>
    <xf numFmtId="0" fontId="0" fillId="7" borderId="81" xfId="0" applyFill="1" applyBorder="1"/>
    <xf numFmtId="0" fontId="0" fillId="7" borderId="82" xfId="0" applyFill="1" applyBorder="1"/>
    <xf numFmtId="1" fontId="0" fillId="7" borderId="59" xfId="0" applyNumberFormat="1" applyFill="1" applyBorder="1"/>
    <xf numFmtId="1" fontId="0" fillId="7" borderId="41" xfId="0" applyNumberFormat="1" applyFill="1" applyBorder="1"/>
    <xf numFmtId="0" fontId="0" fillId="7" borderId="75" xfId="0" applyFill="1" applyBorder="1"/>
    <xf numFmtId="0" fontId="0" fillId="7" borderId="83" xfId="0" applyFill="1" applyBorder="1"/>
    <xf numFmtId="0" fontId="0" fillId="7" borderId="85" xfId="0" applyFill="1" applyBorder="1"/>
    <xf numFmtId="0" fontId="1" fillId="0" borderId="0" xfId="0" applyFont="1"/>
    <xf numFmtId="9" fontId="0" fillId="0" borderId="0" xfId="0" applyNumberFormat="1"/>
    <xf numFmtId="0" fontId="0" fillId="11" borderId="38" xfId="0" applyFill="1" applyBorder="1"/>
    <xf numFmtId="0" fontId="0" fillId="11" borderId="39" xfId="0" applyFill="1" applyBorder="1"/>
    <xf numFmtId="0" fontId="1" fillId="11" borderId="40" xfId="0" applyFont="1" applyFill="1" applyBorder="1"/>
    <xf numFmtId="0" fontId="1" fillId="11" borderId="29" xfId="0" applyFont="1" applyFill="1" applyBorder="1"/>
    <xf numFmtId="0" fontId="0" fillId="11" borderId="41" xfId="0" applyFill="1" applyBorder="1"/>
    <xf numFmtId="1" fontId="0" fillId="11" borderId="40" xfId="0" applyNumberFormat="1" applyFill="1" applyBorder="1"/>
    <xf numFmtId="0" fontId="0" fillId="11" borderId="29" xfId="0" applyFill="1" applyBorder="1"/>
    <xf numFmtId="0" fontId="0" fillId="11" borderId="40" xfId="0" applyFill="1" applyBorder="1"/>
    <xf numFmtId="0" fontId="1" fillId="11" borderId="41" xfId="0" applyFont="1" applyFill="1" applyBorder="1"/>
    <xf numFmtId="1" fontId="0" fillId="11" borderId="29" xfId="0" applyNumberFormat="1" applyFill="1" applyBorder="1"/>
    <xf numFmtId="0" fontId="1" fillId="11" borderId="73" xfId="0" applyFont="1" applyFill="1" applyBorder="1"/>
    <xf numFmtId="1" fontId="0" fillId="11" borderId="74" xfId="0" applyNumberFormat="1" applyFill="1" applyBorder="1"/>
    <xf numFmtId="0" fontId="0" fillId="11" borderId="74" xfId="0" applyFill="1" applyBorder="1"/>
    <xf numFmtId="0" fontId="0" fillId="11" borderId="75" xfId="0" applyFill="1" applyBorder="1"/>
    <xf numFmtId="0" fontId="0" fillId="6" borderId="37" xfId="0" applyFill="1" applyBorder="1"/>
    <xf numFmtId="0" fontId="0" fillId="6" borderId="38" xfId="0" applyFill="1" applyBorder="1"/>
    <xf numFmtId="0" fontId="0" fillId="6" borderId="39" xfId="0" applyFill="1" applyBorder="1"/>
    <xf numFmtId="0" fontId="0" fillId="6" borderId="40" xfId="0" applyFill="1" applyBorder="1"/>
    <xf numFmtId="0" fontId="0" fillId="6" borderId="29" xfId="0" applyFill="1" applyBorder="1"/>
    <xf numFmtId="0" fontId="0" fillId="6" borderId="41" xfId="0" applyFill="1" applyBorder="1"/>
    <xf numFmtId="0" fontId="0" fillId="6" borderId="74" xfId="0" applyFill="1" applyBorder="1"/>
    <xf numFmtId="0" fontId="0" fillId="6" borderId="75" xfId="0" applyFill="1" applyBorder="1"/>
    <xf numFmtId="0" fontId="0" fillId="6" borderId="76" xfId="0" applyFill="1" applyBorder="1"/>
    <xf numFmtId="0" fontId="0" fillId="6" borderId="77" xfId="0" applyFill="1" applyBorder="1"/>
    <xf numFmtId="0" fontId="0" fillId="6" borderId="78" xfId="0" applyFill="1" applyBorder="1"/>
    <xf numFmtId="0" fontId="0" fillId="6" borderId="73" xfId="0" applyFill="1" applyBorder="1"/>
    <xf numFmtId="0" fontId="0" fillId="6" borderId="29" xfId="0" applyFill="1" applyBorder="1" applyAlignment="1">
      <alignment horizontal="center"/>
    </xf>
    <xf numFmtId="0" fontId="0" fillId="6" borderId="29" xfId="0" applyFill="1" applyBorder="1" applyAlignment="1">
      <alignment horizontal="right"/>
    </xf>
    <xf numFmtId="0" fontId="1" fillId="6" borderId="29" xfId="0" applyFont="1" applyFill="1" applyBorder="1"/>
    <xf numFmtId="0" fontId="1" fillId="6" borderId="41" xfId="0" applyFont="1" applyFill="1" applyBorder="1"/>
    <xf numFmtId="10" fontId="3" fillId="6" borderId="29" xfId="0" applyNumberFormat="1" applyFont="1" applyFill="1" applyBorder="1"/>
    <xf numFmtId="0" fontId="14" fillId="0" borderId="0" xfId="0" applyFont="1"/>
    <xf numFmtId="0" fontId="0" fillId="0" borderId="0" xfId="0" applyAlignment="1">
      <alignment horizontal="center"/>
    </xf>
    <xf numFmtId="0" fontId="21" fillId="15" borderId="58" xfId="0" applyFont="1" applyFill="1" applyBorder="1"/>
    <xf numFmtId="0" fontId="22" fillId="15" borderId="58" xfId="0" applyFont="1" applyFill="1" applyBorder="1"/>
    <xf numFmtId="0" fontId="23" fillId="15" borderId="58" xfId="0" applyFont="1" applyFill="1" applyBorder="1"/>
    <xf numFmtId="0" fontId="23" fillId="0" borderId="0" xfId="0" applyFont="1"/>
    <xf numFmtId="0" fontId="22" fillId="0" borderId="0" xfId="0" applyFont="1"/>
    <xf numFmtId="0" fontId="24" fillId="0" borderId="0" xfId="0" applyFont="1"/>
    <xf numFmtId="0" fontId="25" fillId="15" borderId="0" xfId="0" applyFont="1" applyFill="1"/>
    <xf numFmtId="165" fontId="26" fillId="15" borderId="0" xfId="0" applyNumberFormat="1" applyFont="1" applyFill="1"/>
    <xf numFmtId="6" fontId="25" fillId="15" borderId="0" xfId="0" applyNumberFormat="1" applyFont="1" applyFill="1"/>
    <xf numFmtId="6" fontId="27" fillId="15" borderId="0" xfId="0" applyNumberFormat="1" applyFont="1" applyFill="1"/>
    <xf numFmtId="0" fontId="28" fillId="0" borderId="0" xfId="0" applyFont="1"/>
    <xf numFmtId="0" fontId="29" fillId="0" borderId="0" xfId="0" applyFont="1"/>
    <xf numFmtId="0" fontId="21" fillId="0" borderId="86" xfId="0" applyFont="1" applyBorder="1"/>
    <xf numFmtId="0" fontId="23" fillId="0" borderId="86" xfId="0" applyFont="1" applyBorder="1"/>
    <xf numFmtId="6" fontId="23" fillId="0" borderId="86" xfId="0" applyNumberFormat="1" applyFont="1" applyBorder="1"/>
    <xf numFmtId="0" fontId="23" fillId="16" borderId="0" xfId="0" applyFont="1" applyFill="1"/>
    <xf numFmtId="6" fontId="22" fillId="0" borderId="0" xfId="0" applyNumberFormat="1" applyFont="1"/>
    <xf numFmtId="6" fontId="23" fillId="0" borderId="0" xfId="0" applyNumberFormat="1" applyFont="1"/>
    <xf numFmtId="165" fontId="22" fillId="0" borderId="0" xfId="0" applyNumberFormat="1" applyFont="1"/>
    <xf numFmtId="6" fontId="0" fillId="0" borderId="0" xfId="0" applyNumberFormat="1"/>
    <xf numFmtId="0" fontId="21" fillId="15" borderId="0" xfId="0" applyFont="1" applyFill="1"/>
    <xf numFmtId="1" fontId="22" fillId="15" borderId="0" xfId="0" applyNumberFormat="1" applyFont="1" applyFill="1"/>
    <xf numFmtId="1" fontId="21" fillId="15" borderId="0" xfId="0" applyNumberFormat="1" applyFont="1" applyFill="1"/>
    <xf numFmtId="1" fontId="23" fillId="15" borderId="0" xfId="0" applyNumberFormat="1" applyFont="1" applyFill="1"/>
    <xf numFmtId="1" fontId="22" fillId="0" borderId="0" xfId="0" applyNumberFormat="1" applyFont="1"/>
    <xf numFmtId="1" fontId="23" fillId="0" borderId="0" xfId="0" applyNumberFormat="1" applyFont="1"/>
    <xf numFmtId="1" fontId="22" fillId="0" borderId="87" xfId="0" applyNumberFormat="1" applyFont="1" applyBorder="1"/>
    <xf numFmtId="1" fontId="23" fillId="0" borderId="86" xfId="0" applyNumberFormat="1" applyFont="1" applyBorder="1"/>
    <xf numFmtId="0" fontId="30" fillId="15" borderId="0" xfId="0" applyFont="1" applyFill="1"/>
    <xf numFmtId="165" fontId="22" fillId="15" borderId="0" xfId="0" applyNumberFormat="1" applyFont="1" applyFill="1"/>
    <xf numFmtId="165" fontId="21" fillId="15" borderId="0" xfId="0" applyNumberFormat="1" applyFont="1" applyFill="1"/>
    <xf numFmtId="165" fontId="23" fillId="15" borderId="0" xfId="0" applyNumberFormat="1" applyFont="1" applyFill="1"/>
    <xf numFmtId="0" fontId="31" fillId="15" borderId="0" xfId="0" applyFont="1" applyFill="1"/>
    <xf numFmtId="0" fontId="21" fillId="0" borderId="0" xfId="0" applyFont="1"/>
    <xf numFmtId="165" fontId="22" fillId="0" borderId="86" xfId="0" applyNumberFormat="1" applyFont="1" applyBorder="1"/>
    <xf numFmtId="165" fontId="23" fillId="0" borderId="86" xfId="0" applyNumberFormat="1" applyFont="1" applyBorder="1"/>
    <xf numFmtId="165" fontId="23" fillId="0" borderId="0" xfId="0" applyNumberFormat="1" applyFont="1"/>
    <xf numFmtId="0" fontId="32" fillId="15" borderId="0" xfId="0" applyFont="1" applyFill="1"/>
    <xf numFmtId="6" fontId="33" fillId="15" borderId="0" xfId="0" applyNumberFormat="1" applyFont="1" applyFill="1"/>
    <xf numFmtId="6" fontId="32" fillId="15" borderId="0" xfId="0" applyNumberFormat="1" applyFont="1" applyFill="1"/>
    <xf numFmtId="6" fontId="34" fillId="15" borderId="0" xfId="0" applyNumberFormat="1" applyFont="1" applyFill="1"/>
    <xf numFmtId="165" fontId="35" fillId="0" borderId="86" xfId="0" applyNumberFormat="1" applyFont="1" applyBorder="1"/>
    <xf numFmtId="166" fontId="22" fillId="0" borderId="0" xfId="0" applyNumberFormat="1" applyFont="1"/>
    <xf numFmtId="166" fontId="22" fillId="16" borderId="0" xfId="0" applyNumberFormat="1" applyFont="1" applyFill="1"/>
    <xf numFmtId="166" fontId="24" fillId="0" borderId="0" xfId="0" applyNumberFormat="1" applyFont="1"/>
    <xf numFmtId="1" fontId="22" fillId="0" borderId="86" xfId="0" applyNumberFormat="1" applyFont="1" applyBorder="1"/>
    <xf numFmtId="0" fontId="36" fillId="15" borderId="0" xfId="0" applyFont="1" applyFill="1"/>
    <xf numFmtId="6" fontId="37" fillId="15" borderId="0" xfId="0" applyNumberFormat="1" applyFont="1" applyFill="1"/>
    <xf numFmtId="6" fontId="36" fillId="15" borderId="0" xfId="0" applyNumberFormat="1" applyFont="1" applyFill="1"/>
    <xf numFmtId="6" fontId="38" fillId="15" borderId="0" xfId="0" applyNumberFormat="1" applyFont="1" applyFill="1"/>
    <xf numFmtId="0" fontId="39" fillId="15" borderId="0" xfId="0" applyFont="1" applyFill="1"/>
    <xf numFmtId="165" fontId="40" fillId="15" borderId="0" xfId="0" applyNumberFormat="1" applyFont="1" applyFill="1"/>
    <xf numFmtId="165" fontId="39" fillId="15" borderId="0" xfId="0" applyNumberFormat="1" applyFont="1" applyFill="1"/>
    <xf numFmtId="165" fontId="41" fillId="15" borderId="0" xfId="0" applyNumberFormat="1" applyFont="1" applyFill="1"/>
    <xf numFmtId="0" fontId="42" fillId="15" borderId="0" xfId="0" applyFont="1" applyFill="1"/>
    <xf numFmtId="6" fontId="43" fillId="15" borderId="0" xfId="0" applyNumberFormat="1" applyFont="1" applyFill="1"/>
    <xf numFmtId="6" fontId="42" fillId="15" borderId="0" xfId="0" applyNumberFormat="1" applyFont="1" applyFill="1"/>
    <xf numFmtId="6" fontId="44" fillId="15" borderId="0" xfId="0" applyNumberFormat="1" applyFont="1" applyFill="1"/>
    <xf numFmtId="0" fontId="45" fillId="15" borderId="0" xfId="0" applyFont="1" applyFill="1"/>
    <xf numFmtId="6" fontId="46" fillId="15" borderId="0" xfId="0" applyNumberFormat="1" applyFont="1" applyFill="1"/>
    <xf numFmtId="6" fontId="45" fillId="15" borderId="0" xfId="0" applyNumberFormat="1" applyFont="1" applyFill="1"/>
    <xf numFmtId="6" fontId="47" fillId="15" borderId="0" xfId="0" applyNumberFormat="1" applyFont="1" applyFill="1"/>
    <xf numFmtId="0" fontId="48" fillId="15" borderId="0" xfId="0" applyFont="1" applyFill="1"/>
    <xf numFmtId="165" fontId="29" fillId="0" borderId="0" xfId="0" applyNumberFormat="1" applyFont="1"/>
    <xf numFmtId="165" fontId="35" fillId="0" borderId="0" xfId="0" applyNumberFormat="1" applyFont="1"/>
    <xf numFmtId="165" fontId="24" fillId="0" borderId="0" xfId="0" applyNumberFormat="1" applyFont="1"/>
    <xf numFmtId="0" fontId="49" fillId="15" borderId="0" xfId="0" applyFont="1" applyFill="1"/>
    <xf numFmtId="0" fontId="35" fillId="15" borderId="0" xfId="0" applyFont="1" applyFill="1"/>
    <xf numFmtId="10" fontId="49" fillId="0" borderId="86" xfId="0" applyNumberFormat="1" applyFont="1" applyBorder="1"/>
    <xf numFmtId="10" fontId="35" fillId="0" borderId="86" xfId="0" applyNumberFormat="1" applyFont="1" applyBorder="1"/>
    <xf numFmtId="10" fontId="21" fillId="0" borderId="86" xfId="0" applyNumberFormat="1" applyFont="1" applyBorder="1"/>
    <xf numFmtId="0" fontId="50" fillId="0" borderId="0" xfId="0" applyFont="1"/>
    <xf numFmtId="10" fontId="22" fillId="0" borderId="0" xfId="0" applyNumberFormat="1" applyFont="1"/>
    <xf numFmtId="10" fontId="23" fillId="0" borderId="0" xfId="0" applyNumberFormat="1" applyFont="1"/>
    <xf numFmtId="0" fontId="21" fillId="0" borderId="87" xfId="0" applyFont="1" applyBorder="1"/>
    <xf numFmtId="0" fontId="22" fillId="15" borderId="0" xfId="0" applyFont="1" applyFill="1"/>
    <xf numFmtId="0" fontId="23" fillId="15" borderId="0" xfId="0" applyFont="1" applyFill="1"/>
    <xf numFmtId="0" fontId="0" fillId="0" borderId="88" xfId="0" applyBorder="1"/>
    <xf numFmtId="0" fontId="0" fillId="0" borderId="90" xfId="0" applyBorder="1"/>
    <xf numFmtId="0" fontId="0" fillId="0" borderId="91" xfId="0" applyBorder="1"/>
    <xf numFmtId="0" fontId="0" fillId="0" borderId="92" xfId="0" applyBorder="1" applyAlignment="1">
      <alignment horizontal="center"/>
    </xf>
    <xf numFmtId="0" fontId="0" fillId="0" borderId="92" xfId="0" applyBorder="1"/>
    <xf numFmtId="0" fontId="0" fillId="0" borderId="93" xfId="0" applyBorder="1"/>
    <xf numFmtId="0" fontId="14" fillId="2" borderId="94" xfId="0" applyFont="1" applyFill="1" applyBorder="1"/>
    <xf numFmtId="0" fontId="0" fillId="2" borderId="95" xfId="0" applyFill="1" applyBorder="1"/>
    <xf numFmtId="0" fontId="1" fillId="2" borderId="96" xfId="0" applyFont="1" applyFill="1" applyBorder="1"/>
    <xf numFmtId="0" fontId="1" fillId="2" borderId="97" xfId="0" applyFont="1" applyFill="1" applyBorder="1"/>
    <xf numFmtId="0" fontId="14" fillId="2" borderId="72" xfId="0" applyFont="1" applyFill="1" applyBorder="1"/>
    <xf numFmtId="0" fontId="0" fillId="2" borderId="98" xfId="0" applyFill="1" applyBorder="1"/>
    <xf numFmtId="0" fontId="14" fillId="0" borderId="99" xfId="0" applyFont="1" applyBorder="1"/>
    <xf numFmtId="0" fontId="0" fillId="0" borderId="89" xfId="0" applyBorder="1"/>
    <xf numFmtId="1" fontId="23" fillId="16" borderId="29" xfId="0" applyNumberFormat="1" applyFont="1" applyFill="1" applyBorder="1"/>
    <xf numFmtId="1" fontId="23" fillId="16" borderId="47" xfId="0" applyNumberFormat="1" applyFont="1" applyFill="1" applyBorder="1"/>
    <xf numFmtId="1" fontId="0" fillId="10" borderId="29" xfId="0" applyNumberFormat="1" applyFill="1" applyBorder="1"/>
    <xf numFmtId="0" fontId="23" fillId="16" borderId="29" xfId="0" applyFont="1" applyFill="1" applyBorder="1"/>
    <xf numFmtId="0" fontId="23" fillId="16" borderId="47" xfId="0" applyFont="1" applyFill="1" applyBorder="1"/>
    <xf numFmtId="165" fontId="23" fillId="16" borderId="29" xfId="0" applyNumberFormat="1" applyFont="1" applyFill="1" applyBorder="1"/>
    <xf numFmtId="6" fontId="23" fillId="16" borderId="29" xfId="0" applyNumberFormat="1" applyFont="1" applyFill="1" applyBorder="1"/>
    <xf numFmtId="165" fontId="21" fillId="16" borderId="29" xfId="0" applyNumberFormat="1" applyFont="1" applyFill="1" applyBorder="1"/>
    <xf numFmtId="0" fontId="23" fillId="0" borderId="0" xfId="0" applyFont="1" applyAlignment="1">
      <alignment horizontal="left"/>
    </xf>
    <xf numFmtId="0" fontId="51" fillId="0" borderId="0" xfId="0" applyFont="1"/>
    <xf numFmtId="0" fontId="51" fillId="16" borderId="29" xfId="0" applyFont="1" applyFill="1" applyBorder="1"/>
    <xf numFmtId="0" fontId="21" fillId="16" borderId="29" xfId="0" applyFont="1" applyFill="1" applyBorder="1"/>
    <xf numFmtId="0" fontId="0" fillId="7" borderId="29" xfId="0" applyFill="1" applyBorder="1"/>
    <xf numFmtId="0" fontId="1" fillId="7" borderId="37" xfId="0" applyFont="1" applyFill="1" applyBorder="1"/>
    <xf numFmtId="0" fontId="0" fillId="7" borderId="38" xfId="0" applyFill="1" applyBorder="1"/>
    <xf numFmtId="0" fontId="0" fillId="7" borderId="39" xfId="0" applyFill="1" applyBorder="1"/>
    <xf numFmtId="0" fontId="0" fillId="7" borderId="0" xfId="0" applyFill="1"/>
    <xf numFmtId="0" fontId="0" fillId="7" borderId="74" xfId="0" applyFill="1" applyBorder="1"/>
    <xf numFmtId="0" fontId="0" fillId="3" borderId="37" xfId="0" applyFill="1" applyBorder="1"/>
    <xf numFmtId="0" fontId="0" fillId="3" borderId="38" xfId="0" applyFill="1" applyBorder="1"/>
    <xf numFmtId="0" fontId="0" fillId="3" borderId="39" xfId="0" applyFill="1" applyBorder="1"/>
    <xf numFmtId="0" fontId="0" fillId="3" borderId="40" xfId="0" applyFill="1" applyBorder="1"/>
    <xf numFmtId="0" fontId="0" fillId="3" borderId="29" xfId="0" applyFill="1" applyBorder="1"/>
    <xf numFmtId="0" fontId="0" fillId="3" borderId="41" xfId="0" applyFill="1" applyBorder="1"/>
    <xf numFmtId="0" fontId="0" fillId="3" borderId="73" xfId="0" applyFill="1" applyBorder="1"/>
    <xf numFmtId="0" fontId="0" fillId="3" borderId="74" xfId="0" applyFill="1" applyBorder="1"/>
    <xf numFmtId="0" fontId="0" fillId="3" borderId="75" xfId="0" applyFill="1" applyBorder="1"/>
    <xf numFmtId="0" fontId="52" fillId="0" borderId="0" xfId="0" applyFont="1"/>
    <xf numFmtId="0" fontId="53" fillId="0" borderId="0" xfId="0" applyFont="1"/>
    <xf numFmtId="165" fontId="51" fillId="16" borderId="29" xfId="0" applyNumberFormat="1" applyFont="1" applyFill="1" applyBorder="1"/>
    <xf numFmtId="0" fontId="21" fillId="16" borderId="47" xfId="0" applyFont="1" applyFill="1" applyBorder="1"/>
    <xf numFmtId="0" fontId="0" fillId="17" borderId="29" xfId="0" applyFill="1" applyBorder="1"/>
    <xf numFmtId="0" fontId="1" fillId="11" borderId="79" xfId="0" applyFont="1" applyFill="1" applyBorder="1"/>
    <xf numFmtId="0" fontId="0" fillId="11" borderId="79" xfId="0" applyFill="1" applyBorder="1"/>
    <xf numFmtId="0" fontId="0" fillId="11" borderId="36" xfId="0" applyFill="1" applyBorder="1"/>
    <xf numFmtId="0" fontId="0" fillId="11" borderId="78" xfId="0" applyFill="1" applyBorder="1"/>
    <xf numFmtId="6" fontId="21" fillId="0" borderId="0" xfId="0" applyNumberFormat="1" applyFont="1"/>
    <xf numFmtId="165" fontId="52" fillId="16" borderId="29" xfId="0" applyNumberFormat="1" applyFont="1" applyFill="1" applyBorder="1"/>
    <xf numFmtId="165" fontId="52" fillId="16" borderId="47" xfId="0" applyNumberFormat="1" applyFont="1" applyFill="1" applyBorder="1"/>
    <xf numFmtId="6" fontId="51" fillId="16" borderId="29" xfId="0" applyNumberFormat="1" applyFont="1" applyFill="1" applyBorder="1"/>
    <xf numFmtId="6" fontId="21" fillId="16" borderId="29" xfId="0" applyNumberFormat="1" applyFont="1" applyFill="1" applyBorder="1"/>
    <xf numFmtId="6" fontId="52" fillId="16" borderId="29" xfId="0" applyNumberFormat="1" applyFont="1" applyFill="1" applyBorder="1"/>
    <xf numFmtId="0" fontId="54" fillId="0" borderId="0" xfId="0" applyFont="1"/>
    <xf numFmtId="6" fontId="51" fillId="0" borderId="0" xfId="0" applyNumberFormat="1" applyFont="1"/>
    <xf numFmtId="165" fontId="21" fillId="0" borderId="0" xfId="0" applyNumberFormat="1" applyFont="1"/>
    <xf numFmtId="165" fontId="51" fillId="0" borderId="0" xfId="0" applyNumberFormat="1" applyFont="1"/>
    <xf numFmtId="165" fontId="52" fillId="0" borderId="0" xfId="0" applyNumberFormat="1" applyFont="1"/>
    <xf numFmtId="0" fontId="55" fillId="7" borderId="5" xfId="0" applyFont="1" applyFill="1" applyBorder="1"/>
    <xf numFmtId="0" fontId="20" fillId="6" borderId="1" xfId="0" applyFont="1" applyFill="1" applyBorder="1"/>
    <xf numFmtId="10" fontId="0" fillId="6" borderId="1" xfId="0" applyNumberFormat="1" applyFill="1" applyBorder="1"/>
    <xf numFmtId="1" fontId="0" fillId="6" borderId="1" xfId="0" applyNumberFormat="1" applyFill="1" applyBorder="1"/>
    <xf numFmtId="1" fontId="1" fillId="6" borderId="1" xfId="0" applyNumberFormat="1" applyFont="1" applyFill="1" applyBorder="1"/>
    <xf numFmtId="0" fontId="0" fillId="6" borderId="2" xfId="0" applyFill="1" applyBorder="1"/>
    <xf numFmtId="0" fontId="1" fillId="6" borderId="5" xfId="0" applyFont="1" applyFill="1" applyBorder="1"/>
    <xf numFmtId="0" fontId="1" fillId="6" borderId="21" xfId="0" applyFont="1" applyFill="1" applyBorder="1"/>
    <xf numFmtId="1" fontId="1" fillId="6" borderId="20" xfId="0" applyNumberFormat="1" applyFont="1" applyFill="1" applyBorder="1"/>
    <xf numFmtId="0" fontId="0" fillId="6" borderId="20" xfId="0" applyFill="1" applyBorder="1"/>
    <xf numFmtId="0" fontId="19" fillId="6" borderId="6" xfId="0" applyFont="1" applyFill="1" applyBorder="1"/>
    <xf numFmtId="1" fontId="0" fillId="6" borderId="59" xfId="0" applyNumberFormat="1" applyFill="1" applyBorder="1"/>
    <xf numFmtId="0" fontId="16" fillId="18" borderId="29" xfId="0" applyFont="1" applyFill="1" applyBorder="1"/>
    <xf numFmtId="0" fontId="0" fillId="18" borderId="29" xfId="0" applyFill="1" applyBorder="1"/>
    <xf numFmtId="0" fontId="16" fillId="3" borderId="29" xfId="0" applyFont="1" applyFill="1" applyBorder="1"/>
    <xf numFmtId="0" fontId="0" fillId="19" borderId="2" xfId="0" applyFill="1" applyBorder="1"/>
    <xf numFmtId="0" fontId="0" fillId="19" borderId="3" xfId="0" applyFill="1" applyBorder="1"/>
    <xf numFmtId="0" fontId="0" fillId="19" borderId="4" xfId="0" applyFill="1" applyBorder="1"/>
    <xf numFmtId="0" fontId="0" fillId="19" borderId="5" xfId="0" applyFill="1" applyBorder="1"/>
    <xf numFmtId="0" fontId="0" fillId="19" borderId="1" xfId="0" applyFill="1" applyBorder="1"/>
    <xf numFmtId="0" fontId="0" fillId="19" borderId="6" xfId="0" applyFill="1" applyBorder="1"/>
    <xf numFmtId="0" fontId="0" fillId="19" borderId="7" xfId="0" applyFill="1" applyBorder="1"/>
    <xf numFmtId="0" fontId="0" fillId="19" borderId="59" xfId="0" applyFill="1" applyBorder="1"/>
    <xf numFmtId="0" fontId="0" fillId="19" borderId="60" xfId="0" applyFill="1" applyBorder="1"/>
    <xf numFmtId="9" fontId="0" fillId="19" borderId="1" xfId="0" applyNumberFormat="1" applyFill="1" applyBorder="1"/>
    <xf numFmtId="0" fontId="0" fillId="19" borderId="37" xfId="0" applyFill="1" applyBorder="1"/>
    <xf numFmtId="0" fontId="0" fillId="19" borderId="38" xfId="0" applyFill="1" applyBorder="1"/>
    <xf numFmtId="0" fontId="0" fillId="19" borderId="39" xfId="0" applyFill="1" applyBorder="1"/>
    <xf numFmtId="0" fontId="0" fillId="19" borderId="40" xfId="0" applyFill="1" applyBorder="1"/>
    <xf numFmtId="0" fontId="0" fillId="19" borderId="29" xfId="0" applyFill="1" applyBorder="1"/>
    <xf numFmtId="0" fontId="0" fillId="19" borderId="41" xfId="0" applyFill="1" applyBorder="1"/>
    <xf numFmtId="0" fontId="0" fillId="19" borderId="73" xfId="0" applyFill="1" applyBorder="1"/>
    <xf numFmtId="0" fontId="0" fillId="19" borderId="74" xfId="0" applyFill="1" applyBorder="1"/>
    <xf numFmtId="0" fontId="0" fillId="19" borderId="75" xfId="0" applyFill="1" applyBorder="1"/>
    <xf numFmtId="0" fontId="16" fillId="6" borderId="40" xfId="0" applyFont="1" applyFill="1" applyBorder="1"/>
    <xf numFmtId="0" fontId="16" fillId="6" borderId="40" xfId="0" applyFont="1" applyFill="1" applyBorder="1" applyAlignment="1">
      <alignment wrapText="1"/>
    </xf>
    <xf numFmtId="0" fontId="1" fillId="6" borderId="73" xfId="0" applyFont="1" applyFill="1" applyBorder="1"/>
    <xf numFmtId="0" fontId="0" fillId="20" borderId="37" xfId="0" applyFill="1" applyBorder="1"/>
    <xf numFmtId="0" fontId="0" fillId="20" borderId="38" xfId="0" applyFill="1" applyBorder="1"/>
    <xf numFmtId="0" fontId="0" fillId="20" borderId="39" xfId="0" applyFill="1" applyBorder="1"/>
    <xf numFmtId="0" fontId="0" fillId="20" borderId="40" xfId="0" applyFill="1" applyBorder="1"/>
    <xf numFmtId="0" fontId="0" fillId="20" borderId="29" xfId="0" applyFill="1" applyBorder="1"/>
    <xf numFmtId="0" fontId="0" fillId="20" borderId="41" xfId="0" applyFill="1" applyBorder="1"/>
    <xf numFmtId="0" fontId="0" fillId="20" borderId="29" xfId="0" applyFill="1" applyBorder="1" applyAlignment="1">
      <alignment horizontal="right"/>
    </xf>
    <xf numFmtId="0" fontId="16" fillId="20" borderId="40" xfId="0" applyFont="1" applyFill="1" applyBorder="1"/>
    <xf numFmtId="0" fontId="16" fillId="20" borderId="40" xfId="0" applyFont="1" applyFill="1" applyBorder="1" applyAlignment="1">
      <alignment wrapText="1"/>
    </xf>
    <xf numFmtId="17" fontId="0" fillId="20" borderId="29" xfId="0" applyNumberFormat="1" applyFill="1" applyBorder="1"/>
    <xf numFmtId="0" fontId="1" fillId="20" borderId="73" xfId="0" applyFont="1" applyFill="1" applyBorder="1"/>
    <xf numFmtId="0" fontId="0" fillId="20" borderId="74" xfId="0" applyFill="1" applyBorder="1"/>
    <xf numFmtId="0" fontId="0" fillId="20" borderId="75" xfId="0" applyFill="1" applyBorder="1"/>
    <xf numFmtId="0" fontId="0" fillId="20" borderId="73" xfId="0" applyFill="1" applyBorder="1"/>
    <xf numFmtId="0" fontId="0" fillId="21" borderId="29" xfId="0" applyFill="1" applyBorder="1"/>
    <xf numFmtId="0" fontId="16" fillId="2" borderId="79" xfId="0" applyFont="1" applyFill="1" applyBorder="1"/>
    <xf numFmtId="0" fontId="0" fillId="2" borderId="79" xfId="0" applyFill="1" applyBorder="1"/>
    <xf numFmtId="0" fontId="0" fillId="3" borderId="79" xfId="0" applyFill="1" applyBorder="1"/>
    <xf numFmtId="165" fontId="0" fillId="3" borderId="29" xfId="0" applyNumberFormat="1" applyFill="1" applyBorder="1" applyAlignment="1">
      <alignment horizontal="center" vertical="center"/>
    </xf>
    <xf numFmtId="6" fontId="57" fillId="0" borderId="86" xfId="0" applyNumberFormat="1" applyFont="1" applyBorder="1"/>
    <xf numFmtId="10" fontId="0" fillId="3" borderId="29" xfId="0" applyNumberFormat="1" applyFill="1" applyBorder="1" applyAlignment="1">
      <alignment horizontal="center" vertical="center"/>
    </xf>
    <xf numFmtId="0" fontId="0" fillId="20" borderId="84" xfId="0" applyFill="1" applyBorder="1"/>
    <xf numFmtId="0" fontId="0" fillId="20" borderId="79" xfId="0" applyFill="1" applyBorder="1"/>
    <xf numFmtId="0" fontId="0" fillId="20" borderId="101" xfId="0" applyFill="1" applyBorder="1"/>
    <xf numFmtId="0" fontId="16" fillId="21" borderId="47" xfId="0" applyFont="1" applyFill="1" applyBorder="1"/>
    <xf numFmtId="0" fontId="0" fillId="21" borderId="102" xfId="0" applyFill="1" applyBorder="1"/>
    <xf numFmtId="0" fontId="0" fillId="21" borderId="103" xfId="0" applyFill="1" applyBorder="1"/>
    <xf numFmtId="0" fontId="0" fillId="21" borderId="104" xfId="0" applyFill="1" applyBorder="1"/>
    <xf numFmtId="0" fontId="0" fillId="21" borderId="102" xfId="0" applyFill="1" applyBorder="1" applyAlignment="1">
      <alignment horizontal="center" wrapText="1"/>
    </xf>
    <xf numFmtId="0" fontId="0" fillId="21" borderId="104" xfId="0" applyFill="1" applyBorder="1" applyAlignment="1">
      <alignment horizontal="center"/>
    </xf>
    <xf numFmtId="0" fontId="0" fillId="21" borderId="20" xfId="0" applyFill="1" applyBorder="1"/>
    <xf numFmtId="0" fontId="0" fillId="21" borderId="105" xfId="0" applyFill="1" applyBorder="1" applyAlignment="1">
      <alignment horizontal="center"/>
    </xf>
    <xf numFmtId="0" fontId="0" fillId="21" borderId="19" xfId="0" applyFill="1" applyBorder="1"/>
    <xf numFmtId="0" fontId="0" fillId="21" borderId="105" xfId="0" applyFill="1" applyBorder="1"/>
    <xf numFmtId="0" fontId="0" fillId="21" borderId="106" xfId="0" applyFill="1" applyBorder="1"/>
    <xf numFmtId="3" fontId="58" fillId="6" borderId="16" xfId="0" applyNumberFormat="1" applyFont="1" applyFill="1" applyBorder="1" applyAlignment="1">
      <alignment horizontal="right" wrapText="1"/>
    </xf>
    <xf numFmtId="0" fontId="3" fillId="2" borderId="46" xfId="0" applyFont="1" applyFill="1" applyBorder="1"/>
    <xf numFmtId="3" fontId="7" fillId="2" borderId="107" xfId="0" applyNumberFormat="1" applyFont="1" applyFill="1" applyBorder="1" applyAlignment="1">
      <alignment horizontal="right" wrapText="1"/>
    </xf>
    <xf numFmtId="3" fontId="8" fillId="6" borderId="17" xfId="0" applyNumberFormat="1" applyFont="1" applyFill="1" applyBorder="1" applyAlignment="1">
      <alignment horizontal="right" wrapText="1"/>
    </xf>
    <xf numFmtId="3" fontId="0" fillId="0" borderId="0" xfId="0" applyNumberFormat="1"/>
    <xf numFmtId="0" fontId="16" fillId="17" borderId="29" xfId="0" applyFont="1" applyFill="1" applyBorder="1"/>
    <xf numFmtId="0" fontId="16" fillId="17" borderId="29" xfId="0" applyFont="1" applyFill="1" applyBorder="1" applyAlignment="1">
      <alignment wrapText="1"/>
    </xf>
    <xf numFmtId="165" fontId="23" fillId="16" borderId="47" xfId="0" applyNumberFormat="1" applyFont="1" applyFill="1" applyBorder="1"/>
    <xf numFmtId="0" fontId="1" fillId="5" borderId="109" xfId="0" applyFont="1" applyFill="1" applyBorder="1"/>
    <xf numFmtId="0" fontId="2" fillId="5" borderId="110" xfId="0" applyFont="1" applyFill="1" applyBorder="1"/>
    <xf numFmtId="0" fontId="2" fillId="5" borderId="111" xfId="0" applyFont="1" applyFill="1" applyBorder="1"/>
    <xf numFmtId="0" fontId="2" fillId="5" borderId="112" xfId="0" applyFont="1" applyFill="1" applyBorder="1"/>
    <xf numFmtId="0" fontId="2" fillId="5" borderId="113" xfId="0" applyFont="1" applyFill="1" applyBorder="1"/>
    <xf numFmtId="0" fontId="0" fillId="5" borderId="114" xfId="0" applyFill="1" applyBorder="1"/>
    <xf numFmtId="0" fontId="1" fillId="6" borderId="115" xfId="0" applyFont="1" applyFill="1" applyBorder="1"/>
    <xf numFmtId="3" fontId="6" fillId="6" borderId="116" xfId="0" applyNumberFormat="1" applyFont="1" applyFill="1" applyBorder="1" applyAlignment="1">
      <alignment horizontal="right" wrapText="1"/>
    </xf>
    <xf numFmtId="0" fontId="1" fillId="6" borderId="117" xfId="0" applyFont="1" applyFill="1" applyBorder="1"/>
    <xf numFmtId="3" fontId="6" fillId="6" borderId="118" xfId="0" applyNumberFormat="1" applyFont="1" applyFill="1" applyBorder="1" applyAlignment="1">
      <alignment horizontal="right" wrapText="1"/>
    </xf>
    <xf numFmtId="0" fontId="0" fillId="5" borderId="117" xfId="0" applyFill="1" applyBorder="1"/>
    <xf numFmtId="0" fontId="5" fillId="5" borderId="118" xfId="0" applyFont="1" applyFill="1" applyBorder="1" applyAlignment="1">
      <alignment horizontal="right" wrapText="1"/>
    </xf>
    <xf numFmtId="3" fontId="58" fillId="6" borderId="119" xfId="0" applyNumberFormat="1" applyFont="1" applyFill="1" applyBorder="1" applyAlignment="1">
      <alignment horizontal="right" wrapText="1"/>
    </xf>
    <xf numFmtId="0" fontId="3" fillId="3" borderId="117" xfId="0" applyFont="1" applyFill="1" applyBorder="1"/>
    <xf numFmtId="3" fontId="7" fillId="3" borderId="118" xfId="0" applyNumberFormat="1" applyFont="1" applyFill="1" applyBorder="1" applyAlignment="1">
      <alignment horizontal="right" wrapText="1"/>
    </xf>
    <xf numFmtId="3" fontId="7" fillId="3" borderId="120" xfId="0" applyNumberFormat="1" applyFont="1" applyFill="1" applyBorder="1" applyAlignment="1">
      <alignment horizontal="right" wrapText="1"/>
    </xf>
    <xf numFmtId="3" fontId="59" fillId="3" borderId="119" xfId="0" applyNumberFormat="1" applyFont="1" applyFill="1" applyBorder="1" applyAlignment="1">
      <alignment horizontal="right" wrapText="1"/>
    </xf>
    <xf numFmtId="0" fontId="3" fillId="6" borderId="121" xfId="0" applyFont="1" applyFill="1" applyBorder="1"/>
    <xf numFmtId="3" fontId="8" fillId="6" borderId="120" xfId="0" applyNumberFormat="1" applyFont="1" applyFill="1" applyBorder="1" applyAlignment="1">
      <alignment horizontal="right" wrapText="1"/>
    </xf>
    <xf numFmtId="3" fontId="0" fillId="2" borderId="1" xfId="0" applyNumberFormat="1" applyFill="1" applyBorder="1"/>
    <xf numFmtId="0" fontId="0" fillId="4" borderId="29" xfId="0" applyFill="1" applyBorder="1"/>
    <xf numFmtId="3" fontId="5" fillId="4" borderId="105" xfId="0" applyNumberFormat="1" applyFont="1" applyFill="1" applyBorder="1" applyAlignment="1">
      <alignment wrapText="1"/>
    </xf>
    <xf numFmtId="0" fontId="2" fillId="5" borderId="94" xfId="0" applyFont="1" applyFill="1" applyBorder="1"/>
    <xf numFmtId="14" fontId="2" fillId="5" borderId="65" xfId="0" applyNumberFormat="1" applyFont="1" applyFill="1" applyBorder="1"/>
    <xf numFmtId="14" fontId="2" fillId="5" borderId="95" xfId="0" applyNumberFormat="1" applyFont="1" applyFill="1" applyBorder="1"/>
    <xf numFmtId="0" fontId="0" fillId="5" borderId="123" xfId="0" applyFill="1" applyBorder="1"/>
    <xf numFmtId="0" fontId="1" fillId="5" borderId="124" xfId="0" applyFont="1" applyFill="1" applyBorder="1"/>
    <xf numFmtId="0" fontId="0" fillId="5" borderId="125" xfId="0" applyFill="1" applyBorder="1"/>
    <xf numFmtId="0" fontId="0" fillId="5" borderId="126" xfId="0" applyFill="1" applyBorder="1"/>
    <xf numFmtId="0" fontId="1" fillId="3" borderId="127" xfId="0" applyFont="1" applyFill="1" applyBorder="1"/>
    <xf numFmtId="3" fontId="6" fillId="3" borderId="128" xfId="0" applyNumberFormat="1" applyFont="1" applyFill="1" applyBorder="1" applyAlignment="1">
      <alignment horizontal="right" wrapText="1"/>
    </xf>
    <xf numFmtId="0" fontId="0" fillId="4" borderId="115" xfId="0" applyFill="1" applyBorder="1"/>
    <xf numFmtId="3" fontId="5" fillId="4" borderId="129" xfId="0" applyNumberFormat="1" applyFont="1" applyFill="1" applyBorder="1" applyAlignment="1">
      <alignment horizontal="right" wrapText="1"/>
    </xf>
    <xf numFmtId="0" fontId="0" fillId="4" borderId="117" xfId="0" applyFill="1" applyBorder="1"/>
    <xf numFmtId="3" fontId="5" fillId="4" borderId="124" xfId="0" applyNumberFormat="1" applyFont="1" applyFill="1" applyBorder="1" applyAlignment="1">
      <alignment horizontal="right" wrapText="1"/>
    </xf>
    <xf numFmtId="0" fontId="0" fillId="4" borderId="113" xfId="0" applyFill="1" applyBorder="1"/>
    <xf numFmtId="3" fontId="5" fillId="4" borderId="126" xfId="0" applyNumberFormat="1" applyFont="1" applyFill="1" applyBorder="1" applyAlignment="1">
      <alignment horizontal="right" wrapText="1"/>
    </xf>
    <xf numFmtId="3" fontId="5" fillId="3" borderId="128" xfId="0" applyNumberFormat="1" applyFont="1" applyFill="1" applyBorder="1" applyAlignment="1">
      <alignment horizontal="right" wrapText="1"/>
    </xf>
    <xf numFmtId="0" fontId="4" fillId="2" borderId="127" xfId="0" applyFont="1" applyFill="1" applyBorder="1"/>
    <xf numFmtId="3" fontId="7" fillId="2" borderId="128" xfId="0" applyNumberFormat="1" applyFont="1" applyFill="1" applyBorder="1" applyAlignment="1">
      <alignment horizontal="right" wrapText="1"/>
    </xf>
    <xf numFmtId="3" fontId="0" fillId="4" borderId="124" xfId="0" applyNumberFormat="1" applyFill="1" applyBorder="1"/>
    <xf numFmtId="0" fontId="0" fillId="4" borderId="41" xfId="0" applyFill="1" applyBorder="1"/>
    <xf numFmtId="3" fontId="5" fillId="4" borderId="130" xfId="0" applyNumberFormat="1" applyFont="1" applyFill="1" applyBorder="1" applyAlignment="1">
      <alignment wrapText="1"/>
    </xf>
    <xf numFmtId="0" fontId="0" fillId="4" borderId="129" xfId="0" applyFill="1" applyBorder="1"/>
    <xf numFmtId="0" fontId="6" fillId="3" borderId="128" xfId="0" applyFont="1" applyFill="1" applyBorder="1" applyAlignment="1">
      <alignment horizontal="right" wrapText="1"/>
    </xf>
    <xf numFmtId="0" fontId="3" fillId="2" borderId="131" xfId="0" applyFont="1" applyFill="1" applyBorder="1"/>
    <xf numFmtId="3" fontId="7" fillId="2" borderId="133" xfId="0" applyNumberFormat="1" applyFont="1" applyFill="1" applyBorder="1" applyAlignment="1">
      <alignment horizontal="right" wrapText="1"/>
    </xf>
    <xf numFmtId="3" fontId="7" fillId="2" borderId="134" xfId="0" applyNumberFormat="1" applyFont="1" applyFill="1" applyBorder="1" applyAlignment="1">
      <alignment horizontal="right" wrapText="1"/>
    </xf>
    <xf numFmtId="3" fontId="59" fillId="2" borderId="107" xfId="0" applyNumberFormat="1" applyFont="1" applyFill="1" applyBorder="1" applyAlignment="1">
      <alignment horizontal="right" wrapText="1"/>
    </xf>
    <xf numFmtId="3" fontId="59" fillId="2" borderId="108" xfId="0" applyNumberFormat="1" applyFont="1" applyFill="1" applyBorder="1" applyAlignment="1">
      <alignment horizontal="right" wrapText="1"/>
    </xf>
    <xf numFmtId="0" fontId="0" fillId="22" borderId="37" xfId="0" applyFill="1" applyBorder="1"/>
    <xf numFmtId="0" fontId="0" fillId="22" borderId="38" xfId="0" applyFill="1" applyBorder="1"/>
    <xf numFmtId="0" fontId="0" fillId="22" borderId="40" xfId="0" applyFill="1" applyBorder="1"/>
    <xf numFmtId="0" fontId="0" fillId="22" borderId="29" xfId="0" applyFill="1" applyBorder="1"/>
    <xf numFmtId="10" fontId="0" fillId="22" borderId="29" xfId="0" applyNumberFormat="1" applyFill="1" applyBorder="1"/>
    <xf numFmtId="0" fontId="0" fillId="22" borderId="73" xfId="0" applyFill="1" applyBorder="1"/>
    <xf numFmtId="10" fontId="0" fillId="22" borderId="74" xfId="0" applyNumberFormat="1" applyFill="1" applyBorder="1"/>
    <xf numFmtId="0" fontId="0" fillId="6" borderId="47" xfId="0" applyFill="1" applyBorder="1"/>
    <xf numFmtId="0" fontId="60" fillId="23" borderId="1" xfId="0" applyFont="1" applyFill="1" applyBorder="1"/>
    <xf numFmtId="0" fontId="60" fillId="23" borderId="135" xfId="0" applyFont="1" applyFill="1" applyBorder="1"/>
    <xf numFmtId="0" fontId="61" fillId="24" borderId="19" xfId="0" applyFont="1" applyFill="1" applyBorder="1"/>
    <xf numFmtId="0" fontId="61" fillId="24" borderId="136" xfId="0" applyFont="1" applyFill="1" applyBorder="1"/>
    <xf numFmtId="0" fontId="62" fillId="24" borderId="19" xfId="0" applyFont="1" applyFill="1" applyBorder="1"/>
    <xf numFmtId="0" fontId="62" fillId="24" borderId="136" xfId="0" applyFont="1" applyFill="1" applyBorder="1"/>
    <xf numFmtId="8" fontId="62" fillId="24" borderId="136" xfId="0" applyNumberFormat="1" applyFont="1" applyFill="1" applyBorder="1"/>
    <xf numFmtId="9" fontId="62" fillId="24" borderId="136" xfId="0" applyNumberFormat="1" applyFont="1" applyFill="1" applyBorder="1"/>
    <xf numFmtId="0" fontId="62" fillId="25" borderId="19" xfId="0" applyFont="1" applyFill="1" applyBorder="1"/>
    <xf numFmtId="8" fontId="62" fillId="25" borderId="136" xfId="0" applyNumberFormat="1" applyFont="1" applyFill="1" applyBorder="1"/>
    <xf numFmtId="0" fontId="62" fillId="0" borderId="0" xfId="0" applyFont="1"/>
    <xf numFmtId="8" fontId="61" fillId="24" borderId="136" xfId="0" applyNumberFormat="1" applyFont="1" applyFill="1" applyBorder="1"/>
    <xf numFmtId="0" fontId="0" fillId="0" borderId="28" xfId="0" applyBorder="1"/>
    <xf numFmtId="0" fontId="0" fillId="0" borderId="137" xfId="0" applyBorder="1"/>
    <xf numFmtId="0" fontId="0" fillId="0" borderId="138" xfId="0" applyBorder="1"/>
    <xf numFmtId="0" fontId="0" fillId="0" borderId="139" xfId="0" applyBorder="1"/>
    <xf numFmtId="0" fontId="0" fillId="0" borderId="131" xfId="0" applyBorder="1"/>
    <xf numFmtId="0" fontId="0" fillId="0" borderId="1" xfId="0" applyBorder="1"/>
    <xf numFmtId="0" fontId="0" fillId="22" borderId="1" xfId="0" applyFill="1" applyBorder="1"/>
    <xf numFmtId="0" fontId="0" fillId="22" borderId="84" xfId="0" applyFill="1" applyBorder="1"/>
    <xf numFmtId="0" fontId="0" fillId="22" borderId="79" xfId="0" applyFill="1" applyBorder="1"/>
    <xf numFmtId="10" fontId="0" fillId="22" borderId="79" xfId="0" applyNumberFormat="1" applyFill="1" applyBorder="1"/>
    <xf numFmtId="10" fontId="0" fillId="22" borderId="101" xfId="0" applyNumberFormat="1" applyFill="1" applyBorder="1"/>
    <xf numFmtId="0" fontId="0" fillId="22" borderId="2" xfId="0" applyFill="1" applyBorder="1"/>
    <xf numFmtId="0" fontId="0" fillId="22" borderId="4" xfId="0" applyFill="1" applyBorder="1"/>
    <xf numFmtId="0" fontId="0" fillId="22" borderId="5" xfId="0" applyFill="1" applyBorder="1"/>
    <xf numFmtId="0" fontId="0" fillId="22" borderId="6" xfId="0" applyFill="1" applyBorder="1"/>
    <xf numFmtId="10" fontId="0" fillId="22" borderId="7" xfId="1" applyNumberFormat="1" applyFont="1" applyFill="1" applyBorder="1"/>
    <xf numFmtId="10" fontId="0" fillId="22" borderId="60" xfId="1" applyNumberFormat="1" applyFont="1" applyFill="1" applyBorder="1"/>
    <xf numFmtId="1" fontId="0" fillId="0" borderId="137" xfId="0" applyNumberFormat="1" applyBorder="1"/>
    <xf numFmtId="1" fontId="0" fillId="0" borderId="138" xfId="0" applyNumberFormat="1" applyBorder="1"/>
    <xf numFmtId="1" fontId="0" fillId="0" borderId="92" xfId="0" applyNumberFormat="1" applyBorder="1"/>
    <xf numFmtId="167" fontId="0" fillId="0" borderId="0" xfId="0" applyNumberFormat="1"/>
    <xf numFmtId="167" fontId="0" fillId="0" borderId="92" xfId="0" applyNumberFormat="1" applyBorder="1"/>
    <xf numFmtId="167" fontId="0" fillId="0" borderId="88" xfId="0" applyNumberFormat="1" applyBorder="1"/>
    <xf numFmtId="167" fontId="0" fillId="0" borderId="93" xfId="0" applyNumberFormat="1" applyBorder="1"/>
    <xf numFmtId="1" fontId="1" fillId="0" borderId="0" xfId="0" applyNumberFormat="1" applyFont="1"/>
    <xf numFmtId="0" fontId="2" fillId="0" borderId="0" xfId="0" applyFont="1"/>
    <xf numFmtId="1" fontId="0" fillId="0" borderId="93" xfId="0" applyNumberFormat="1" applyBorder="1"/>
    <xf numFmtId="165" fontId="0" fillId="0" borderId="0" xfId="0" applyNumberFormat="1"/>
    <xf numFmtId="0" fontId="1" fillId="0" borderId="28" xfId="0" applyFont="1" applyBorder="1"/>
    <xf numFmtId="1" fontId="1" fillId="0" borderId="138" xfId="0" applyNumberFormat="1" applyFont="1" applyBorder="1"/>
    <xf numFmtId="0" fontId="1" fillId="0" borderId="139" xfId="0" applyFont="1" applyBorder="1"/>
    <xf numFmtId="0" fontId="1" fillId="0" borderId="92" xfId="0" applyFont="1" applyBorder="1"/>
    <xf numFmtId="1" fontId="1" fillId="0" borderId="92" xfId="0" applyNumberFormat="1" applyFont="1" applyBorder="1"/>
    <xf numFmtId="0" fontId="1" fillId="0" borderId="138" xfId="0" applyFont="1" applyBorder="1"/>
    <xf numFmtId="0" fontId="1" fillId="0" borderId="137" xfId="0" applyFont="1" applyBorder="1"/>
    <xf numFmtId="1" fontId="1" fillId="0" borderId="137" xfId="0" applyNumberFormat="1" applyFont="1" applyBorder="1"/>
    <xf numFmtId="10" fontId="0" fillId="0" borderId="92" xfId="0" applyNumberFormat="1" applyBorder="1"/>
    <xf numFmtId="0" fontId="16" fillId="0" borderId="28" xfId="0" applyFont="1" applyBorder="1"/>
    <xf numFmtId="10" fontId="0" fillId="0" borderId="0" xfId="0" applyNumberFormat="1"/>
    <xf numFmtId="0" fontId="0" fillId="2" borderId="135" xfId="0" applyFill="1" applyBorder="1"/>
    <xf numFmtId="6" fontId="0" fillId="2" borderId="19" xfId="0" applyNumberFormat="1" applyFill="1" applyBorder="1"/>
    <xf numFmtId="0" fontId="0" fillId="0" borderId="136" xfId="0" applyBorder="1"/>
    <xf numFmtId="168" fontId="0" fillId="2" borderId="1" xfId="0" applyNumberFormat="1" applyFill="1" applyBorder="1"/>
    <xf numFmtId="0" fontId="0" fillId="20" borderId="1" xfId="0" applyFill="1" applyBorder="1"/>
    <xf numFmtId="0" fontId="0" fillId="0" borderId="55" xfId="0" applyBorder="1"/>
    <xf numFmtId="0" fontId="0" fillId="0" borderId="27" xfId="0" applyBorder="1"/>
    <xf numFmtId="0" fontId="0" fillId="0" borderId="58" xfId="0" applyBorder="1"/>
    <xf numFmtId="0" fontId="0" fillId="0" borderId="24" xfId="0" applyBorder="1"/>
    <xf numFmtId="3" fontId="6" fillId="6" borderId="119" xfId="0" applyNumberFormat="1" applyFont="1" applyFill="1" applyBorder="1" applyAlignment="1">
      <alignment horizontal="right" wrapText="1"/>
    </xf>
    <xf numFmtId="0" fontId="0" fillId="2" borderId="29" xfId="0" applyFill="1" applyBorder="1"/>
    <xf numFmtId="0" fontId="0" fillId="2" borderId="103" xfId="0" applyFill="1" applyBorder="1"/>
    <xf numFmtId="9" fontId="0" fillId="7" borderId="39" xfId="0" applyNumberFormat="1" applyFill="1" applyBorder="1"/>
    <xf numFmtId="10" fontId="0" fillId="0" borderId="93" xfId="0" applyNumberFormat="1" applyBorder="1"/>
    <xf numFmtId="0" fontId="0" fillId="11" borderId="3" xfId="0" applyFill="1" applyBorder="1"/>
    <xf numFmtId="0" fontId="0" fillId="11" borderId="4" xfId="0" applyFill="1" applyBorder="1"/>
    <xf numFmtId="0" fontId="0" fillId="14" borderId="7" xfId="0" applyFill="1" applyBorder="1"/>
    <xf numFmtId="0" fontId="0" fillId="14" borderId="59" xfId="0" applyFill="1" applyBorder="1"/>
    <xf numFmtId="0" fontId="0" fillId="26" borderId="5" xfId="0" applyFill="1" applyBorder="1"/>
    <xf numFmtId="0" fontId="0" fillId="26" borderId="1" xfId="0" applyFill="1" applyBorder="1"/>
    <xf numFmtId="0" fontId="0" fillId="26" borderId="6" xfId="0" applyFill="1" applyBorder="1"/>
    <xf numFmtId="9" fontId="0" fillId="14" borderId="59" xfId="0" applyNumberFormat="1" applyFill="1" applyBorder="1"/>
    <xf numFmtId="0" fontId="0" fillId="20" borderId="2" xfId="0" applyFill="1" applyBorder="1"/>
    <xf numFmtId="0" fontId="0" fillId="20" borderId="3" xfId="0" applyFill="1" applyBorder="1"/>
    <xf numFmtId="0" fontId="0" fillId="20" borderId="4" xfId="0" applyFill="1" applyBorder="1"/>
    <xf numFmtId="0" fontId="0" fillId="20" borderId="5" xfId="0" applyFill="1" applyBorder="1"/>
    <xf numFmtId="0" fontId="0" fillId="20" borderId="6" xfId="0" applyFill="1" applyBorder="1"/>
    <xf numFmtId="2" fontId="0" fillId="20" borderId="1" xfId="1" applyNumberFormat="1" applyFont="1" applyFill="1" applyBorder="1"/>
    <xf numFmtId="0" fontId="0" fillId="20" borderId="7" xfId="0" applyFill="1" applyBorder="1"/>
    <xf numFmtId="2" fontId="0" fillId="20" borderId="59" xfId="1" applyNumberFormat="1" applyFont="1" applyFill="1" applyBorder="1"/>
    <xf numFmtId="2" fontId="0" fillId="20" borderId="60" xfId="1" applyNumberFormat="1" applyFont="1" applyFill="1" applyBorder="1"/>
    <xf numFmtId="0" fontId="0" fillId="26" borderId="2" xfId="0" applyFill="1" applyBorder="1"/>
    <xf numFmtId="0" fontId="0" fillId="26" borderId="3" xfId="0" applyFill="1" applyBorder="1"/>
    <xf numFmtId="0" fontId="0" fillId="26" borderId="4" xfId="0" applyFill="1" applyBorder="1"/>
    <xf numFmtId="9" fontId="0" fillId="26" borderId="1" xfId="1" applyFont="1" applyFill="1" applyBorder="1"/>
    <xf numFmtId="0" fontId="0" fillId="26" borderId="7" xfId="0" applyFill="1" applyBorder="1"/>
    <xf numFmtId="0" fontId="0" fillId="26" borderId="59" xfId="0" applyFill="1" applyBorder="1"/>
    <xf numFmtId="0" fontId="0" fillId="26" borderId="60" xfId="0" applyFill="1" applyBorder="1"/>
    <xf numFmtId="0" fontId="0" fillId="3" borderId="7" xfId="0" applyFill="1" applyBorder="1"/>
    <xf numFmtId="2" fontId="1" fillId="20" borderId="6" xfId="1" applyNumberFormat="1" applyFont="1" applyFill="1" applyBorder="1"/>
    <xf numFmtId="9" fontId="1" fillId="14" borderId="60" xfId="0" applyNumberFormat="1" applyFont="1" applyFill="1" applyBorder="1"/>
    <xf numFmtId="9" fontId="1" fillId="26" borderId="6" xfId="1" applyFont="1" applyFill="1" applyBorder="1"/>
    <xf numFmtId="2" fontId="1" fillId="3" borderId="60" xfId="0" applyNumberFormat="1" applyFont="1" applyFill="1" applyBorder="1"/>
    <xf numFmtId="3" fontId="5" fillId="5" borderId="118" xfId="0" applyNumberFormat="1" applyFont="1" applyFill="1" applyBorder="1" applyAlignment="1">
      <alignment horizontal="right" wrapText="1"/>
    </xf>
    <xf numFmtId="3" fontId="58" fillId="3" borderId="128" xfId="0" applyNumberFormat="1" applyFont="1" applyFill="1" applyBorder="1" applyAlignment="1">
      <alignment horizontal="right" wrapText="1"/>
    </xf>
    <xf numFmtId="3" fontId="64" fillId="4" borderId="129" xfId="0" applyNumberFormat="1" applyFont="1" applyFill="1" applyBorder="1" applyAlignment="1">
      <alignment horizontal="right" wrapText="1"/>
    </xf>
    <xf numFmtId="3" fontId="64" fillId="4" borderId="124" xfId="0" applyNumberFormat="1" applyFont="1" applyFill="1" applyBorder="1" applyAlignment="1">
      <alignment horizontal="right" wrapText="1"/>
    </xf>
    <xf numFmtId="3" fontId="64" fillId="4" borderId="126" xfId="0" applyNumberFormat="1" applyFont="1" applyFill="1" applyBorder="1" applyAlignment="1">
      <alignment horizontal="right" wrapText="1"/>
    </xf>
    <xf numFmtId="3" fontId="64" fillId="3" borderId="128" xfId="0" applyNumberFormat="1" applyFont="1" applyFill="1" applyBorder="1" applyAlignment="1">
      <alignment horizontal="right" wrapText="1"/>
    </xf>
    <xf numFmtId="3" fontId="59" fillId="2" borderId="128" xfId="0" applyNumberFormat="1" applyFont="1" applyFill="1" applyBorder="1" applyAlignment="1">
      <alignment horizontal="right" wrapText="1"/>
    </xf>
    <xf numFmtId="3" fontId="64" fillId="4" borderId="21" xfId="0" applyNumberFormat="1" applyFont="1" applyFill="1" applyBorder="1" applyAlignment="1">
      <alignment horizontal="right" wrapText="1"/>
    </xf>
    <xf numFmtId="3" fontId="64" fillId="4" borderId="20" xfId="0" applyNumberFormat="1" applyFont="1" applyFill="1" applyBorder="1" applyAlignment="1">
      <alignment horizontal="right" wrapText="1"/>
    </xf>
    <xf numFmtId="3" fontId="64" fillId="4" borderId="122" xfId="0" applyNumberFormat="1" applyFont="1" applyFill="1" applyBorder="1" applyAlignment="1">
      <alignment horizontal="right" wrapText="1"/>
    </xf>
    <xf numFmtId="3" fontId="64" fillId="4" borderId="105" xfId="0" applyNumberFormat="1" applyFont="1" applyFill="1" applyBorder="1" applyAlignment="1">
      <alignment wrapText="1"/>
    </xf>
    <xf numFmtId="3" fontId="64" fillId="4" borderId="130" xfId="0" applyNumberFormat="1" applyFont="1" applyFill="1" applyBorder="1" applyAlignment="1">
      <alignment wrapText="1"/>
    </xf>
    <xf numFmtId="0" fontId="58" fillId="3" borderId="128" xfId="0" applyFont="1" applyFill="1" applyBorder="1" applyAlignment="1">
      <alignment horizontal="right" wrapText="1"/>
    </xf>
    <xf numFmtId="3" fontId="59" fillId="2" borderId="132" xfId="0" applyNumberFormat="1" applyFont="1" applyFill="1" applyBorder="1" applyAlignment="1">
      <alignment horizontal="right" wrapText="1"/>
    </xf>
    <xf numFmtId="3" fontId="59" fillId="2" borderId="133" xfId="0" applyNumberFormat="1" applyFont="1" applyFill="1" applyBorder="1" applyAlignment="1">
      <alignment horizontal="right" wrapText="1"/>
    </xf>
    <xf numFmtId="3" fontId="59" fillId="2" borderId="134" xfId="0" applyNumberFormat="1" applyFont="1" applyFill="1" applyBorder="1" applyAlignment="1">
      <alignment horizontal="right" wrapText="1"/>
    </xf>
    <xf numFmtId="3" fontId="64" fillId="5" borderId="118" xfId="0" applyNumberFormat="1" applyFont="1" applyFill="1" applyBorder="1" applyAlignment="1">
      <alignment horizontal="right" wrapText="1"/>
    </xf>
    <xf numFmtId="14" fontId="2" fillId="5" borderId="140" xfId="0" applyNumberFormat="1" applyFont="1" applyFill="1" applyBorder="1"/>
    <xf numFmtId="0" fontId="1" fillId="5" borderId="135" xfId="0" applyFont="1" applyFill="1" applyBorder="1"/>
    <xf numFmtId="0" fontId="0" fillId="5" borderId="141" xfId="0" applyFill="1" applyBorder="1"/>
    <xf numFmtId="3" fontId="6" fillId="3" borderId="142" xfId="0" applyNumberFormat="1" applyFont="1" applyFill="1" applyBorder="1" applyAlignment="1">
      <alignment horizontal="right" wrapText="1"/>
    </xf>
    <xf numFmtId="3" fontId="5" fillId="4" borderId="136" xfId="0" applyNumberFormat="1" applyFont="1" applyFill="1" applyBorder="1" applyAlignment="1">
      <alignment horizontal="right" wrapText="1"/>
    </xf>
    <xf numFmtId="3" fontId="5" fillId="4" borderId="135" xfId="0" applyNumberFormat="1" applyFont="1" applyFill="1" applyBorder="1" applyAlignment="1">
      <alignment horizontal="right" wrapText="1"/>
    </xf>
    <xf numFmtId="3" fontId="5" fillId="4" borderId="141" xfId="0" applyNumberFormat="1" applyFont="1" applyFill="1" applyBorder="1" applyAlignment="1">
      <alignment horizontal="right" wrapText="1"/>
    </xf>
    <xf numFmtId="3" fontId="5" fillId="3" borderId="142" xfId="0" applyNumberFormat="1" applyFont="1" applyFill="1" applyBorder="1" applyAlignment="1">
      <alignment horizontal="right" wrapText="1"/>
    </xf>
    <xf numFmtId="3" fontId="7" fillId="2" borderId="142" xfId="0" applyNumberFormat="1" applyFont="1" applyFill="1" applyBorder="1" applyAlignment="1">
      <alignment horizontal="right" wrapText="1"/>
    </xf>
    <xf numFmtId="3" fontId="0" fillId="4" borderId="135" xfId="0" applyNumberFormat="1" applyFill="1" applyBorder="1"/>
    <xf numFmtId="0" fontId="0" fillId="4" borderId="103" xfId="0" applyFill="1" applyBorder="1"/>
    <xf numFmtId="3" fontId="5" fillId="4" borderId="143" xfId="0" applyNumberFormat="1" applyFont="1" applyFill="1" applyBorder="1" applyAlignment="1">
      <alignment horizontal="right" wrapText="1"/>
    </xf>
    <xf numFmtId="0" fontId="0" fillId="4" borderId="136" xfId="0" applyFill="1" applyBorder="1"/>
    <xf numFmtId="0" fontId="6" fillId="3" borderId="142" xfId="0" applyFont="1" applyFill="1" applyBorder="1" applyAlignment="1">
      <alignment horizontal="right" wrapText="1"/>
    </xf>
    <xf numFmtId="3" fontId="7" fillId="2" borderId="144" xfId="0" applyNumberFormat="1" applyFont="1" applyFill="1" applyBorder="1" applyAlignment="1">
      <alignment horizontal="right" wrapText="1"/>
    </xf>
    <xf numFmtId="0" fontId="2" fillId="5" borderId="145" xfId="0" applyFont="1" applyFill="1" applyBorder="1"/>
    <xf numFmtId="0" fontId="0" fillId="5" borderId="146" xfId="0" applyFill="1" applyBorder="1"/>
    <xf numFmtId="0" fontId="0" fillId="5" borderId="147" xfId="0" applyFill="1" applyBorder="1"/>
    <xf numFmtId="0" fontId="1" fillId="3" borderId="148" xfId="0" applyFont="1" applyFill="1" applyBorder="1"/>
    <xf numFmtId="0" fontId="0" fillId="4" borderId="149" xfId="0" applyFill="1" applyBorder="1"/>
    <xf numFmtId="0" fontId="0" fillId="4" borderId="146" xfId="0" applyFill="1" applyBorder="1"/>
    <xf numFmtId="0" fontId="0" fillId="4" borderId="147" xfId="0" applyFill="1" applyBorder="1"/>
    <xf numFmtId="0" fontId="4" fillId="2" borderId="148" xfId="0" applyFont="1" applyFill="1" applyBorder="1"/>
    <xf numFmtId="0" fontId="3" fillId="2" borderId="91" xfId="0" applyFont="1" applyFill="1" applyBorder="1"/>
    <xf numFmtId="0" fontId="0" fillId="22" borderId="20" xfId="0" applyFill="1" applyBorder="1"/>
    <xf numFmtId="0" fontId="0" fillId="0" borderId="150" xfId="0" applyBorder="1"/>
    <xf numFmtId="168" fontId="0" fillId="0" borderId="1" xfId="0" applyNumberFormat="1" applyBorder="1"/>
    <xf numFmtId="0" fontId="0" fillId="0" borderId="135" xfId="0" applyBorder="1"/>
    <xf numFmtId="0" fontId="1" fillId="4" borderId="29" xfId="0" applyFont="1" applyFill="1" applyBorder="1" applyAlignment="1">
      <alignment horizontal="center"/>
    </xf>
    <xf numFmtId="0" fontId="0" fillId="2" borderId="4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165" fontId="0" fillId="3" borderId="47" xfId="0" applyNumberFormat="1" applyFill="1" applyBorder="1" applyAlignment="1">
      <alignment horizontal="center" vertical="center"/>
    </xf>
    <xf numFmtId="165" fontId="0" fillId="3" borderId="77" xfId="0" applyNumberFormat="1" applyFill="1" applyBorder="1" applyAlignment="1">
      <alignment horizontal="center" vertical="center"/>
    </xf>
    <xf numFmtId="165" fontId="0" fillId="3" borderId="100" xfId="0" applyNumberFormat="1" applyFill="1" applyBorder="1" applyAlignment="1">
      <alignment horizontal="center" vertical="center"/>
    </xf>
    <xf numFmtId="10" fontId="0" fillId="3" borderId="47" xfId="0" applyNumberFormat="1" applyFill="1" applyBorder="1" applyAlignment="1">
      <alignment horizontal="center" vertical="center"/>
    </xf>
    <xf numFmtId="10" fontId="0" fillId="3" borderId="77" xfId="0" applyNumberFormat="1" applyFill="1" applyBorder="1" applyAlignment="1">
      <alignment horizontal="center" vertical="center"/>
    </xf>
    <xf numFmtId="10" fontId="0" fillId="3" borderId="100" xfId="0" applyNumberFormat="1" applyFill="1" applyBorder="1" applyAlignment="1">
      <alignment horizontal="center" vertical="center"/>
    </xf>
  </cellXfs>
  <cellStyles count="4">
    <cellStyle name="Normál" xfId="0" builtinId="0"/>
    <cellStyle name="Normál 3" xfId="2" xr:uid="{8C26459D-2187-49AF-BD29-5C7AF3F2CF02}"/>
    <cellStyle name="Pénznem 4" xfId="3" xr:uid="{DCA7F3DB-CE87-4DED-8A7B-726229867BEC}"/>
    <cellStyle name="Százalék" xfId="1" builtinId="5"/>
  </cellStyles>
  <dxfs count="0"/>
  <tableStyles count="0" defaultTableStyle="TableStyleMedium2" defaultPivotStyle="PivotStyleLight16"/>
  <colors>
    <mruColors>
      <color rgb="FFE2EFDA"/>
      <color rgb="FFF5691D"/>
      <color rgb="FFF7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EBITDA és Profit</a:t>
            </a:r>
          </a:p>
          <a:p>
            <a:pPr>
              <a:defRPr/>
            </a:pPr>
            <a:r>
              <a:rPr lang="hu-HU"/>
              <a:t>(Adatok eFt-ben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EBITDA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Kimutatások!$B$45:$D$45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Kimutatások!$B$47:$D$47</c:f>
              <c:numCache>
                <c:formatCode>General</c:formatCode>
                <c:ptCount val="3"/>
                <c:pt idx="0">
                  <c:v>81305.11764172338</c:v>
                </c:pt>
                <c:pt idx="1">
                  <c:v>33013.653523809538</c:v>
                </c:pt>
                <c:pt idx="2">
                  <c:v>238973.83540000004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2-4DE0-9E47-1C50974BB28A}"/>
            </c:ext>
          </c:extLst>
        </c:ser>
        <c:ser>
          <c:idx val="1"/>
          <c:order val="1"/>
          <c:tx>
            <c:v>Adózott Eredmény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Kimutatások!$B$45:$D$45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Kimutatások!$B$48:$D$48</c:f>
              <c:numCache>
                <c:formatCode>General</c:formatCode>
                <c:ptCount val="3"/>
                <c:pt idx="0">
                  <c:v>54656.024733968283</c:v>
                </c:pt>
                <c:pt idx="1">
                  <c:v>744.82182666667859</c:v>
                </c:pt>
                <c:pt idx="2">
                  <c:v>162082.84765400004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B2-4DE0-9E47-1C50974BB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225791"/>
        <c:axId val="166226751"/>
      </c:barChart>
      <c:lineChart>
        <c:grouping val="standard"/>
        <c:varyColors val="0"/>
        <c:ser>
          <c:idx val="2"/>
          <c:order val="2"/>
          <c:tx>
            <c:v>Profit Marzs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Kimutatások!$B$45:$D$45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Kimutatások!$B$52:$D$52</c:f>
              <c:numCache>
                <c:formatCode>0.00%</c:formatCode>
                <c:ptCount val="3"/>
                <c:pt idx="0">
                  <c:v>8.8175358041171298E-2</c:v>
                </c:pt>
                <c:pt idx="1">
                  <c:v>1.429666293009042E-3</c:v>
                </c:pt>
                <c:pt idx="2">
                  <c:v>0.14772622245129352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B2-4DE0-9E47-1C50974BB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21951"/>
        <c:axId val="166224351"/>
      </c:lineChart>
      <c:catAx>
        <c:axId val="166225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6226751"/>
        <c:crosses val="autoZero"/>
        <c:auto val="1"/>
        <c:lblAlgn val="ctr"/>
        <c:lblOffset val="100"/>
        <c:noMultiLvlLbl val="0"/>
      </c:catAx>
      <c:valAx>
        <c:axId val="166226751"/>
        <c:scaling>
          <c:orientation val="minMax"/>
          <c:max val="2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6225791"/>
        <c:crosses val="autoZero"/>
        <c:crossBetween val="between"/>
        <c:majorUnit val="50000"/>
      </c:valAx>
      <c:valAx>
        <c:axId val="166224351"/>
        <c:scaling>
          <c:orientation val="minMax"/>
          <c:max val="0.14000000000000001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6221951"/>
        <c:crosses val="max"/>
        <c:crossBetween val="between"/>
      </c:valAx>
      <c:catAx>
        <c:axId val="16622195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6224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'Költségek&amp;Terv'!$S$59</c:f>
              <c:strCache>
                <c:ptCount val="1"/>
                <c:pt idx="0">
                  <c:v>Fix költség</c:v>
                </c:pt>
              </c:strCache>
            </c:strRef>
          </c:tx>
          <c:spPr>
            <a:ln w="25400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'Költségek&amp;Terv'!$R$60:$R$65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'Költségek&amp;Terv'!$S$60:$S$65</c:f>
              <c:numCache>
                <c:formatCode>0</c:formatCode>
                <c:ptCount val="6"/>
                <c:pt idx="0">
                  <c:v>143073933.40240002</c:v>
                </c:pt>
                <c:pt idx="1">
                  <c:v>143073933.40240002</c:v>
                </c:pt>
                <c:pt idx="2">
                  <c:v>143073933.40240002</c:v>
                </c:pt>
                <c:pt idx="3">
                  <c:v>143073933.40240002</c:v>
                </c:pt>
                <c:pt idx="4">
                  <c:v>143073933.40240002</c:v>
                </c:pt>
                <c:pt idx="5">
                  <c:v>143073933.40240002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E2-4593-B593-9E6EA1D5F61A}"/>
            </c:ext>
          </c:extLst>
        </c:ser>
        <c:ser>
          <c:idx val="1"/>
          <c:order val="1"/>
          <c:tx>
            <c:strRef>
              <c:f>'Költségek&amp;Terv'!$T$59</c:f>
              <c:strCache>
                <c:ptCount val="1"/>
                <c:pt idx="0">
                  <c:v>Öszköltség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'Költségek&amp;Terv'!$R$60:$R$65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'Költségek&amp;Terv'!$T$60:$T$65</c:f>
              <c:numCache>
                <c:formatCode>0</c:formatCode>
                <c:ptCount val="6"/>
                <c:pt idx="0">
                  <c:v>143073933.40240002</c:v>
                </c:pt>
                <c:pt idx="1">
                  <c:v>364026743.40240002</c:v>
                </c:pt>
                <c:pt idx="2">
                  <c:v>584979553.40240002</c:v>
                </c:pt>
                <c:pt idx="3">
                  <c:v>805932363.40240002</c:v>
                </c:pt>
                <c:pt idx="4">
                  <c:v>1026885173.4024</c:v>
                </c:pt>
                <c:pt idx="5">
                  <c:v>1247837983.4024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E2-4593-B593-9E6EA1D5F61A}"/>
            </c:ext>
          </c:extLst>
        </c:ser>
        <c:ser>
          <c:idx val="2"/>
          <c:order val="2"/>
          <c:tx>
            <c:strRef>
              <c:f>'Költségek&amp;Terv'!$U$59</c:f>
              <c:strCache>
                <c:ptCount val="1"/>
                <c:pt idx="0">
                  <c:v>Árbevétel</c:v>
                </c:pt>
              </c:strCache>
            </c:strRef>
          </c:tx>
          <c:spPr>
            <a:ln w="317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'Költségek&amp;Terv'!$R$60:$R$65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'Költségek&amp;Terv'!$U$60:$U$65</c:f>
              <c:numCache>
                <c:formatCode>General</c:formatCode>
                <c:ptCount val="6"/>
                <c:pt idx="0">
                  <c:v>0</c:v>
                </c:pt>
                <c:pt idx="1">
                  <c:v>265143372.00000003</c:v>
                </c:pt>
                <c:pt idx="2">
                  <c:v>530286744.00000006</c:v>
                </c:pt>
                <c:pt idx="3">
                  <c:v>795430116.00000012</c:v>
                </c:pt>
                <c:pt idx="4">
                  <c:v>1060573488.0000001</c:v>
                </c:pt>
                <c:pt idx="5">
                  <c:v>1325716860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3E2-4593-B593-9E6EA1D5F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3376392"/>
        <c:axId val="1455722504"/>
      </c:scatterChart>
      <c:valAx>
        <c:axId val="1943376392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5722504"/>
        <c:crosses val="autoZero"/>
        <c:crossBetween val="midCat"/>
        <c:majorUnit val="50"/>
      </c:valAx>
      <c:valAx>
        <c:axId val="145572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376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'Költségek&amp;Terv'!$S$76</c:f>
              <c:strCache>
                <c:ptCount val="1"/>
                <c:pt idx="0">
                  <c:v>Fix költség</c:v>
                </c:pt>
              </c:strCache>
            </c:strRef>
          </c:tx>
          <c:spPr>
            <a:ln w="25400" cap="rnd">
              <a:solidFill>
                <a:srgbClr val="637CEF"/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'Költségek&amp;Terv'!$R$77:$R$82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'Költségek&amp;Terv'!$S$77:$S$82</c:f>
              <c:numCache>
                <c:formatCode>0</c:formatCode>
                <c:ptCount val="6"/>
                <c:pt idx="0">
                  <c:v>144742718.27242401</c:v>
                </c:pt>
                <c:pt idx="1">
                  <c:v>144742718.27242401</c:v>
                </c:pt>
                <c:pt idx="2">
                  <c:v>144742718.27242401</c:v>
                </c:pt>
                <c:pt idx="3">
                  <c:v>144742718.27242401</c:v>
                </c:pt>
                <c:pt idx="4">
                  <c:v>144742718.27242401</c:v>
                </c:pt>
                <c:pt idx="5">
                  <c:v>144742718.27242401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A4-4DAA-9694-9BBC7CF08959}"/>
            </c:ext>
          </c:extLst>
        </c:ser>
        <c:ser>
          <c:idx val="1"/>
          <c:order val="1"/>
          <c:tx>
            <c:strRef>
              <c:f>'Költségek&amp;Terv'!$T$76</c:f>
              <c:strCache>
                <c:ptCount val="1"/>
                <c:pt idx="0">
                  <c:v>Öszköltség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'Költségek&amp;Terv'!$R$77:$R$82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'Költségek&amp;Terv'!$T$77:$T$82</c:f>
              <c:numCache>
                <c:formatCode>0</c:formatCode>
                <c:ptCount val="6"/>
                <c:pt idx="0">
                  <c:v>144742718.27242401</c:v>
                </c:pt>
                <c:pt idx="1">
                  <c:v>368268909.27242398</c:v>
                </c:pt>
                <c:pt idx="2">
                  <c:v>591795100.27242398</c:v>
                </c:pt>
                <c:pt idx="3">
                  <c:v>815321291.27242398</c:v>
                </c:pt>
                <c:pt idx="4">
                  <c:v>1038847482.272424</c:v>
                </c:pt>
                <c:pt idx="5">
                  <c:v>1262373673.272424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4A4-4DAA-9694-9BBC7CF08959}"/>
            </c:ext>
          </c:extLst>
        </c:ser>
        <c:ser>
          <c:idx val="2"/>
          <c:order val="2"/>
          <c:tx>
            <c:strRef>
              <c:f>'Költségek&amp;Terv'!$U$76</c:f>
              <c:strCache>
                <c:ptCount val="1"/>
                <c:pt idx="0">
                  <c:v>Árbevétel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'Költségek&amp;Terv'!$R$77:$R$82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'Költségek&amp;Terv'!$U$77:$U$82</c:f>
              <c:numCache>
                <c:formatCode>General</c:formatCode>
                <c:ptCount val="6"/>
                <c:pt idx="0">
                  <c:v>0</c:v>
                </c:pt>
                <c:pt idx="1">
                  <c:v>268231429.19999999</c:v>
                </c:pt>
                <c:pt idx="2">
                  <c:v>536462858.39999998</c:v>
                </c:pt>
                <c:pt idx="3">
                  <c:v>804694287.60000002</c:v>
                </c:pt>
                <c:pt idx="4">
                  <c:v>1072925716.8</c:v>
                </c:pt>
                <c:pt idx="5">
                  <c:v>1341157146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4A4-4DAA-9694-9BBC7CF08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697928"/>
        <c:axId val="1746950152"/>
      </c:scatterChart>
      <c:valAx>
        <c:axId val="1455697928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950152"/>
        <c:crosses val="autoZero"/>
        <c:crossBetween val="midCat"/>
        <c:majorUnit val="50"/>
      </c:valAx>
      <c:valAx>
        <c:axId val="174695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5697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Befektetés</a:t>
            </a:r>
            <a:r>
              <a:rPr lang="hu-HU" baseline="0"/>
              <a:t> megtérülés</a:t>
            </a:r>
          </a:p>
        </c:rich>
      </c:tx>
      <c:layout>
        <c:manualLayout>
          <c:xMode val="edge"/>
          <c:yMode val="edge"/>
          <c:x val="0.34174268612482894"/>
          <c:y val="3.0987165701550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7453039343864787"/>
          <c:y val="0.11962532215243311"/>
          <c:w val="0.80715916128461473"/>
          <c:h val="0.8460265039066438"/>
        </c:manualLayout>
      </c:layout>
      <c:lineChart>
        <c:grouping val="standard"/>
        <c:varyColors val="0"/>
        <c:ser>
          <c:idx val="0"/>
          <c:order val="0"/>
          <c:tx>
            <c:strRef>
              <c:f>'Befektetői tábla'!$A$8</c:f>
              <c:strCache>
                <c:ptCount val="1"/>
                <c:pt idx="0">
                  <c:v>Egyenleg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6.9708664694066835E-2"/>
                  <c:y val="6.8696347881846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33-478C-BAE2-FD5A3EB17C15}"/>
                </c:ext>
              </c:extLst>
            </c:dLbl>
            <c:dLbl>
              <c:idx val="1"/>
              <c:layout>
                <c:manualLayout>
                  <c:x val="-7.6367008431062228E-2"/>
                  <c:y val="4.3715857742993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33-478C-BAE2-FD5A3EB17C15}"/>
                </c:ext>
              </c:extLst>
            </c:dLbl>
            <c:dLbl>
              <c:idx val="2"/>
              <c:layout>
                <c:manualLayout>
                  <c:x val="-8.6354524036555358E-2"/>
                  <c:y val="4.99609802777063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33-478C-BAE2-FD5A3EB17C15}"/>
                </c:ext>
              </c:extLst>
            </c:dLbl>
            <c:dLbl>
              <c:idx val="3"/>
              <c:layout>
                <c:manualLayout>
                  <c:x val="-6.0586733774383068E-2"/>
                  <c:y val="3.1225612673566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33-478C-BAE2-FD5A3EB17C15}"/>
                </c:ext>
              </c:extLst>
            </c:dLbl>
            <c:dLbl>
              <c:idx val="4"/>
              <c:layout>
                <c:manualLayout>
                  <c:x val="-5.4082528073503923E-2"/>
                  <c:y val="-4.6838419010349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33-478C-BAE2-FD5A3EB17C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'Befektetői tábla'!$B$3:$F$3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'Befektetői tábla'!$B$8:$F$8</c:f>
              <c:numCache>
                <c:formatCode>General</c:formatCode>
                <c:ptCount val="5"/>
                <c:pt idx="0">
                  <c:v>-89068795.053206354</c:v>
                </c:pt>
                <c:pt idx="1">
                  <c:v>-189068795.05320635</c:v>
                </c:pt>
                <c:pt idx="2">
                  <c:v>-331652225.52240634</c:v>
                </c:pt>
                <c:pt idx="3">
                  <c:v>-470602979.0457083</c:v>
                </c:pt>
                <c:pt idx="4">
                  <c:v>656293703.57246244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3-478C-BAE2-FD5A3EB17C1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237822703"/>
        <c:axId val="1237839023"/>
      </c:lineChart>
      <c:catAx>
        <c:axId val="123782270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37839023"/>
        <c:crosses val="autoZero"/>
        <c:auto val="1"/>
        <c:lblAlgn val="ctr"/>
        <c:lblOffset val="100"/>
        <c:noMultiLvlLbl val="0"/>
      </c:catAx>
      <c:valAx>
        <c:axId val="1237839023"/>
        <c:scaling>
          <c:orientation val="minMax"/>
        </c:scaling>
        <c:delete val="0"/>
        <c:axPos val="l"/>
        <c:numFmt formatCode="0\ &quot;Ft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3782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Flotta megoszlás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637CEF"/>
              </a:solidFill>
              <a:ln w="12700"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350-4A47-ADF4-253BEE91C5C7}"/>
              </c:ext>
            </c:extLst>
          </c:dPt>
          <c:dPt>
            <c:idx val="1"/>
            <c:bubble3D val="0"/>
            <c:spPr>
              <a:solidFill>
                <a:srgbClr val="E3008C"/>
              </a:solidFill>
              <a:ln w="12700"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350-4A47-ADF4-253BEE91C5C7}"/>
              </c:ext>
            </c:extLst>
          </c:dPt>
          <c:dPt>
            <c:idx val="2"/>
            <c:bubble3D val="0"/>
            <c:explosion val="5"/>
            <c:spPr>
              <a:solidFill>
                <a:srgbClr val="2AA0A4"/>
              </a:solidFill>
              <a:ln w="12700"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350-4A47-ADF4-253BEE91C5C7}"/>
              </c:ext>
            </c:extLst>
          </c:dPt>
          <c:dPt>
            <c:idx val="3"/>
            <c:bubble3D val="0"/>
            <c:spPr>
              <a:solidFill>
                <a:srgbClr val="9373C0"/>
              </a:solidFill>
              <a:ln w="12700"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350-4A47-ADF4-253BEE91C5C7}"/>
              </c:ext>
            </c:extLst>
          </c:dPt>
          <c:dPt>
            <c:idx val="4"/>
            <c:bubble3D val="0"/>
            <c:spPr>
              <a:solidFill>
                <a:srgbClr val="13A10E"/>
              </a:solidFill>
              <a:ln w="12700"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350-4A47-ADF4-253BEE91C5C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Arányok!$A$5:$A$9</c:f>
              <c:strCache>
                <c:ptCount val="5"/>
                <c:pt idx="0">
                  <c:v>CITROËN Ë-JUMPER</c:v>
                </c:pt>
                <c:pt idx="1">
                  <c:v>NISSAN Townstar EV</c:v>
                </c:pt>
                <c:pt idx="2">
                  <c:v>VOLVO FH Electric</c:v>
                </c:pt>
                <c:pt idx="3">
                  <c:v>FUSO eCanter</c:v>
                </c:pt>
                <c:pt idx="4">
                  <c:v>Ford F-150 Lightning</c:v>
                </c:pt>
              </c:strCache>
            </c:strRef>
          </c:cat>
          <c:val>
            <c:numRef>
              <c:f>Arányok!$C$5:$C$9</c:f>
              <c:numCache>
                <c:formatCode>General</c:formatCode>
                <c:ptCount val="5"/>
                <c:pt idx="0">
                  <c:v>54000000</c:v>
                </c:pt>
                <c:pt idx="1">
                  <c:v>74625200</c:v>
                </c:pt>
                <c:pt idx="2">
                  <c:v>240000000</c:v>
                </c:pt>
                <c:pt idx="3">
                  <c:v>44000000</c:v>
                </c:pt>
                <c:pt idx="4">
                  <c:v>30000000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0-41F4-B986-2CA61342676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470297462817144"/>
          <c:y val="0.28641217720125411"/>
          <c:w val="0.27863035870516178"/>
          <c:h val="0.44731748956912309"/>
        </c:manualLayout>
      </c:layout>
      <c:overlay val="0"/>
      <c:spPr>
        <a:solidFill>
          <a:schemeClr val="bg1">
            <a:alpha val="7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ÁTLA</a:t>
            </a:r>
            <a:r>
              <a:rPr lang="hu-HU"/>
              <a:t>GOS </a:t>
            </a:r>
            <a:r>
              <a:rPr lang="en-US"/>
              <a:t>FEDEZET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'Költségek&amp;Terv'!$S$97</c:f>
              <c:strCache>
                <c:ptCount val="1"/>
                <c:pt idx="0">
                  <c:v>Fix költség</c:v>
                </c:pt>
              </c:strCache>
            </c:strRef>
          </c:tx>
          <c:spPr>
            <a:ln w="19050" cap="rnd">
              <a:solidFill>
                <a:srgbClr val="637CEF"/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'Költségek&amp;Terv'!$R$98:$R$103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'Költségek&amp;Terv'!$S$98:$S$103</c:f>
              <c:numCache>
                <c:formatCode>0</c:formatCode>
                <c:ptCount val="6"/>
                <c:pt idx="0">
                  <c:v>129572213.32808483</c:v>
                </c:pt>
                <c:pt idx="1">
                  <c:v>129572213.32808483</c:v>
                </c:pt>
                <c:pt idx="2">
                  <c:v>129572213.32808483</c:v>
                </c:pt>
                <c:pt idx="3">
                  <c:v>129572213.32808483</c:v>
                </c:pt>
                <c:pt idx="4">
                  <c:v>129572213.32808483</c:v>
                </c:pt>
                <c:pt idx="5">
                  <c:v>129572213.32808483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6D-4019-831B-84AE0680419E}"/>
            </c:ext>
          </c:extLst>
        </c:ser>
        <c:ser>
          <c:idx val="1"/>
          <c:order val="1"/>
          <c:tx>
            <c:strRef>
              <c:f>'Költségek&amp;Terv'!$T$97</c:f>
              <c:strCache>
                <c:ptCount val="1"/>
                <c:pt idx="0">
                  <c:v>Öszköltség</c:v>
                </c:pt>
              </c:strCache>
            </c:strRef>
          </c:tx>
          <c:spPr>
            <a:ln w="19050" cap="rnd">
              <a:solidFill>
                <a:srgbClr val="E3008C"/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'Költségek&amp;Terv'!$R$98:$R$103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'Költségek&amp;Terv'!$T$98:$T$103</c:f>
              <c:numCache>
                <c:formatCode>General</c:formatCode>
                <c:ptCount val="6"/>
                <c:pt idx="0">
                  <c:v>129572213.32808483</c:v>
                </c:pt>
                <c:pt idx="1">
                  <c:v>328336291.52808487</c:v>
                </c:pt>
                <c:pt idx="2">
                  <c:v>527100369.72808486</c:v>
                </c:pt>
                <c:pt idx="3">
                  <c:v>725864447.92808485</c:v>
                </c:pt>
                <c:pt idx="4">
                  <c:v>924628526.1280849</c:v>
                </c:pt>
                <c:pt idx="5">
                  <c:v>1123392604.3280849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6D-4019-831B-84AE0680419E}"/>
            </c:ext>
          </c:extLst>
        </c:ser>
        <c:ser>
          <c:idx val="2"/>
          <c:order val="2"/>
          <c:tx>
            <c:strRef>
              <c:f>'Költségek&amp;Terv'!$U$97</c:f>
              <c:strCache>
                <c:ptCount val="1"/>
                <c:pt idx="0">
                  <c:v>Árbevétel</c:v>
                </c:pt>
              </c:strCache>
            </c:strRef>
          </c:tx>
          <c:spPr>
            <a:ln w="19050" cap="rnd">
              <a:solidFill>
                <a:srgbClr val="2AA0A4"/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'Költségek&amp;Terv'!$R$98:$R$103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'Költségek&amp;Terv'!$U$98:$U$103</c:f>
              <c:numCache>
                <c:formatCode>General</c:formatCode>
                <c:ptCount val="6"/>
                <c:pt idx="0">
                  <c:v>0</c:v>
                </c:pt>
                <c:pt idx="1">
                  <c:v>238516893.83999997</c:v>
                </c:pt>
                <c:pt idx="2">
                  <c:v>477033787.67999995</c:v>
                </c:pt>
                <c:pt idx="3">
                  <c:v>715550681.51999998</c:v>
                </c:pt>
                <c:pt idx="4">
                  <c:v>954067575.3599999</c:v>
                </c:pt>
                <c:pt idx="5">
                  <c:v>1192584469.2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6D-4019-831B-84AE06804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7003272"/>
        <c:axId val="1197005320"/>
      </c:scatterChart>
      <c:valAx>
        <c:axId val="1197003272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m²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7005320"/>
        <c:crosses val="autoZero"/>
        <c:crossBetween val="midCat"/>
        <c:majorUnit val="20"/>
        <c:minorUnit val="10"/>
      </c:valAx>
      <c:valAx>
        <c:axId val="119700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Ft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700327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80388392046828"/>
          <c:y val="0.95484528098299626"/>
          <c:w val="0.22106819424156959"/>
          <c:h val="3.8434046187691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j-lt"/>
                <a:ea typeface="+mj-ea"/>
                <a:cs typeface="+mj-cs"/>
              </a:defRPr>
            </a:pPr>
            <a:r>
              <a:rPr lang="en-US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EBITDA és Profit (Adatok eFt-ban)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j-lt"/>
              <a:ea typeface="+mj-ea"/>
              <a:cs typeface="+mj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EBITDA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4.94249581249961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8E-4893-B6AA-32E0DA56D9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Kimutatások!$B$45:$F$45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Kimutatások!$B$47:$F$47</c:f>
              <c:numCache>
                <c:formatCode>General</c:formatCode>
                <c:ptCount val="5"/>
                <c:pt idx="0">
                  <c:v>81305.11764172338</c:v>
                </c:pt>
                <c:pt idx="1">
                  <c:v>33013.653523809538</c:v>
                </c:pt>
                <c:pt idx="2">
                  <c:v>238973.83540000004</c:v>
                </c:pt>
                <c:pt idx="3">
                  <c:v>258933.59883899998</c:v>
                </c:pt>
                <c:pt idx="4">
                  <c:v>258196.32403129499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C-4E2E-BF77-EB94553E37F5}"/>
            </c:ext>
          </c:extLst>
        </c:ser>
        <c:ser>
          <c:idx val="1"/>
          <c:order val="1"/>
          <c:tx>
            <c:v>Adózott eredmény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4.7040897508352976E-2"/>
                  <c:y val="-4.94249581249961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8E-4893-B6AA-32E0DA56D94A}"/>
                </c:ext>
              </c:extLst>
            </c:dLbl>
            <c:dLbl>
              <c:idx val="3"/>
              <c:layout>
                <c:manualLayout>
                  <c:x val="4.332714244190419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8E-4893-B6AA-32E0DA56D94A}"/>
                </c:ext>
              </c:extLst>
            </c:dLbl>
            <c:dLbl>
              <c:idx val="4"/>
              <c:layout>
                <c:manualLayout>
                  <c:x val="2.4758367109657671E-3"/>
                  <c:y val="-4.530568823940313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8E-4893-B6AA-32E0DA56D9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Kimutatások!$B$45:$F$45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Kimutatások!$B$48:$F$48</c:f>
              <c:numCache>
                <c:formatCode>General</c:formatCode>
                <c:ptCount val="5"/>
                <c:pt idx="0">
                  <c:v>54656.024733968283</c:v>
                </c:pt>
                <c:pt idx="1">
                  <c:v>744.82182666667859</c:v>
                </c:pt>
                <c:pt idx="2">
                  <c:v>162082.84765400004</c:v>
                </c:pt>
                <c:pt idx="3">
                  <c:v>180246.23238348999</c:v>
                </c:pt>
                <c:pt idx="4">
                  <c:v>179575.31230847799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3C-4E2E-BF77-EB94553E37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7"/>
        <c:overlap val="-27"/>
        <c:axId val="1625357455"/>
        <c:axId val="1625351215"/>
      </c:barChart>
      <c:lineChart>
        <c:grouping val="standard"/>
        <c:varyColors val="0"/>
        <c:ser>
          <c:idx val="2"/>
          <c:order val="2"/>
          <c:tx>
            <c:v>Profit marzs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2379183554829744E-3"/>
                  <c:y val="-9.88499162499922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8E-4893-B6AA-32E0DA56D94A}"/>
                </c:ext>
              </c:extLst>
            </c:dLbl>
            <c:dLbl>
              <c:idx val="1"/>
              <c:layout>
                <c:manualLayout>
                  <c:x val="-1.1141265199346814E-2"/>
                  <c:y val="-5.0660582078121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8E-4893-B6AA-32E0DA56D94A}"/>
                </c:ext>
              </c:extLst>
            </c:dLbl>
            <c:dLbl>
              <c:idx val="2"/>
              <c:layout>
                <c:manualLayout>
                  <c:x val="0"/>
                  <c:y val="1.729873534374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8E-4893-B6AA-32E0DA56D94A}"/>
                </c:ext>
              </c:extLst>
            </c:dLbl>
            <c:dLbl>
              <c:idx val="3"/>
              <c:layout>
                <c:manualLayout>
                  <c:x val="0"/>
                  <c:y val="2.9654974874997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8E-4893-B6AA-32E0DA56D9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Kimutatások!$B$45:$F$45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Kimutatások!$B$52:$F$52</c:f>
              <c:numCache>
                <c:formatCode>0.00%</c:formatCode>
                <c:ptCount val="5"/>
                <c:pt idx="0">
                  <c:v>8.8175358041171298E-2</c:v>
                </c:pt>
                <c:pt idx="1">
                  <c:v>1.429666293009042E-3</c:v>
                </c:pt>
                <c:pt idx="2">
                  <c:v>0.14772622245129352</c:v>
                </c:pt>
                <c:pt idx="3">
                  <c:v>0.36783119462705088</c:v>
                </c:pt>
                <c:pt idx="4">
                  <c:v>0.5153645249264226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3C-4E2E-BF77-EB94553E37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25356975"/>
        <c:axId val="1625356015"/>
      </c:lineChart>
      <c:catAx>
        <c:axId val="1625357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25351215"/>
        <c:crosses val="autoZero"/>
        <c:auto val="1"/>
        <c:lblAlgn val="ctr"/>
        <c:lblOffset val="100"/>
        <c:noMultiLvlLbl val="0"/>
      </c:catAx>
      <c:valAx>
        <c:axId val="162535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eFt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25357455"/>
        <c:crosses val="autoZero"/>
        <c:crossBetween val="between"/>
      </c:valAx>
      <c:valAx>
        <c:axId val="1625356015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25356975"/>
        <c:crosses val="max"/>
        <c:crossBetween val="between"/>
      </c:valAx>
      <c:catAx>
        <c:axId val="16253569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5356015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effectLst>
                  <a:innerShdw blurRad="63500" dist="50800" dir="18900000">
                    <a:prstClr val="black">
                      <a:alpha val="50000"/>
                    </a:prstClr>
                  </a:innerShdw>
                </a:effectLst>
                <a:latin typeface="+mn-lt"/>
                <a:ea typeface="+mn-ea"/>
                <a:cs typeface="+mn-cs"/>
              </a:defRPr>
            </a:pPr>
            <a:r>
              <a:rPr lang="hu-HU">
                <a:solidFill>
                  <a:schemeClr val="tx1"/>
                </a:solidFill>
                <a:effectLst>
                  <a:innerShdw blurRad="63500" dist="50800" dir="18900000">
                    <a:prstClr val="black">
                      <a:alpha val="50000"/>
                    </a:prstClr>
                  </a:innerShdw>
                </a:effectLst>
              </a:rPr>
              <a:t>FORGÁSI</a:t>
            </a:r>
            <a:r>
              <a:rPr lang="hu-HU" baseline="0">
                <a:solidFill>
                  <a:schemeClr val="tx1"/>
                </a:solidFill>
                <a:effectLst>
                  <a:innerShdw blurRad="63500" dist="50800" dir="18900000">
                    <a:prstClr val="black">
                      <a:alpha val="50000"/>
                    </a:prstClr>
                  </a:innerShdw>
                </a:effectLst>
              </a:rPr>
              <a:t> IDŐ</a:t>
            </a:r>
          </a:p>
          <a:p>
            <a:pPr>
              <a:defRPr>
                <a:solidFill>
                  <a:schemeClr val="tx1"/>
                </a:solidFill>
                <a:effectLst>
                  <a:innerShdw blurRad="63500" dist="50800" dir="18900000">
                    <a:prstClr val="black">
                      <a:alpha val="50000"/>
                    </a:prstClr>
                  </a:innerShdw>
                </a:effectLst>
              </a:defRPr>
            </a:pPr>
            <a:r>
              <a:rPr lang="hu-HU" sz="1400" baseline="0">
                <a:solidFill>
                  <a:schemeClr val="tx1"/>
                </a:solidFill>
                <a:effectLst>
                  <a:innerShdw blurRad="63500" dist="50800" dir="18900000">
                    <a:prstClr val="black">
                      <a:alpha val="50000"/>
                    </a:prstClr>
                  </a:innerShdw>
                </a:effectLst>
              </a:rPr>
              <a:t>(Hónap)</a:t>
            </a:r>
            <a:endParaRPr lang="hu-HU" sz="1400">
              <a:solidFill>
                <a:schemeClr val="tx1"/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12700">
          <a:solidFill>
            <a:srgbClr val="0070C0"/>
          </a:solidFill>
        </a:ln>
        <a:effectLst/>
        <a:sp3d contourW="12700">
          <a:contourClr>
            <a:srgbClr val="0070C0"/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440767494801572E-2"/>
          <c:y val="0.12378001700836345"/>
          <c:w val="0.61349416429329318"/>
          <c:h val="0.7190436160514900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diagramok!$A$75</c:f>
              <c:strCache>
                <c:ptCount val="1"/>
                <c:pt idx="0">
                  <c:v>Készletek forgási ideje (hónap)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76649318286294E-3"/>
                  <c:y val="4.380286436320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AD-46E8-8EE7-C46FC61064A7}"/>
                </c:ext>
              </c:extLst>
            </c:dLbl>
            <c:dLbl>
              <c:idx val="1"/>
              <c:layout>
                <c:manualLayout>
                  <c:x val="1.0287634749837013E-3"/>
                  <c:y val="4.3387291249240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AD-46E8-8EE7-C46FC61064A7}"/>
                </c:ext>
              </c:extLst>
            </c:dLbl>
            <c:dLbl>
              <c:idx val="2"/>
              <c:layout>
                <c:manualLayout>
                  <c:x val="2.9548835300482741E-3"/>
                  <c:y val="4.0704147084302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AD-46E8-8EE7-C46FC61064A7}"/>
                </c:ext>
              </c:extLst>
            </c:dLbl>
            <c:spPr>
              <a:solidFill>
                <a:schemeClr val="tx1">
                  <a:lumMod val="85000"/>
                  <a:lumOff val="15000"/>
                </a:schemeClr>
              </a:solidFill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diagramok!$B$74:$D$74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diagramok!$B$75:$D$75</c:f>
              <c:numCache>
                <c:formatCode>0.0</c:formatCode>
                <c:ptCount val="3"/>
                <c:pt idx="0">
                  <c:v>7.9442780643493496</c:v>
                </c:pt>
                <c:pt idx="1">
                  <c:v>7.2257760484584308</c:v>
                </c:pt>
                <c:pt idx="2">
                  <c:v>4.8561690001733115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D-46E8-8EE7-C46FC61064A7}"/>
            </c:ext>
          </c:extLst>
        </c:ser>
        <c:ser>
          <c:idx val="1"/>
          <c:order val="1"/>
          <c:tx>
            <c:strRef>
              <c:f>diagramok!$A$76</c:f>
              <c:strCache>
                <c:ptCount val="1"/>
                <c:pt idx="0">
                  <c:v>Vevői követelések forgási ideje (hónap)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8662354836205074E-3"/>
                  <c:y val="4.1951012241325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AD-46E8-8EE7-C46FC61064A7}"/>
                </c:ext>
              </c:extLst>
            </c:dLbl>
            <c:dLbl>
              <c:idx val="1"/>
              <c:layout>
                <c:manualLayout>
                  <c:x val="1.0085055539054808E-3"/>
                  <c:y val="4.380286436320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AD-46E8-8EE7-C46FC61064A7}"/>
                </c:ext>
              </c:extLst>
            </c:dLbl>
            <c:dLbl>
              <c:idx val="2"/>
              <c:layout>
                <c:manualLayout>
                  <c:x val="1.9665588709051269E-3"/>
                  <c:y val="4.3387291249240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AD-46E8-8EE7-C46FC61064A7}"/>
                </c:ext>
              </c:extLst>
            </c:dLbl>
            <c:spPr>
              <a:solidFill>
                <a:schemeClr val="tx1">
                  <a:lumMod val="85000"/>
                  <a:lumOff val="15000"/>
                </a:schemeClr>
              </a:solidFill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diagramok!$B$74:$D$74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diagramok!$B$76:$D$76</c:f>
              <c:numCache>
                <c:formatCode>0.0</c:formatCode>
                <c:ptCount val="3"/>
                <c:pt idx="0">
                  <c:v>5.4883714927337959</c:v>
                </c:pt>
                <c:pt idx="1">
                  <c:v>7.2579159116734742</c:v>
                </c:pt>
                <c:pt idx="2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AD-46E8-8EE7-C46FC61064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01961023"/>
        <c:axId val="701962943"/>
        <c:axId val="500101135"/>
      </c:bar3DChart>
      <c:catAx>
        <c:axId val="701961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1962943"/>
        <c:crosses val="autoZero"/>
        <c:auto val="1"/>
        <c:lblAlgn val="ctr"/>
        <c:lblOffset val="100"/>
        <c:noMultiLvlLbl val="0"/>
      </c:catAx>
      <c:valAx>
        <c:axId val="701962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Hó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1961023"/>
        <c:crosses val="autoZero"/>
        <c:crossBetween val="between"/>
      </c:valAx>
      <c:serAx>
        <c:axId val="5001011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1962943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Kimutatások!$F$28</c:f>
              <c:strCache>
                <c:ptCount val="1"/>
                <c:pt idx="0">
                  <c:v>Profit Marzs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2DD-4C8F-8F79-961FC6F2D248}"/>
              </c:ext>
            </c:extLst>
          </c:dPt>
          <c:val>
            <c:numRef>
              <c:f>Kimutatások!$G$28:$I$28</c:f>
              <c:numCache>
                <c:formatCode>0.00%</c:formatCode>
                <c:ptCount val="3"/>
                <c:pt idx="0">
                  <c:v>8.8175358041171312E-2</c:v>
                </c:pt>
                <c:pt idx="1">
                  <c:v>1.4296662930090387E-3</c:v>
                </c:pt>
                <c:pt idx="2">
                  <c:v>0.14772622245129352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D-4C8F-8F79-961FC6F2D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0039071"/>
        <c:axId val="2130039551"/>
        <c:axId val="0"/>
      </c:bar3DChart>
      <c:catAx>
        <c:axId val="21300390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30039551"/>
        <c:crosses val="autoZero"/>
        <c:auto val="1"/>
        <c:lblAlgn val="ctr"/>
        <c:lblOffset val="100"/>
        <c:noMultiLvlLbl val="0"/>
      </c:catAx>
      <c:valAx>
        <c:axId val="213003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30039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Kimutatások!$L$19</c:f>
              <c:strCache>
                <c:ptCount val="1"/>
                <c:pt idx="0">
                  <c:v>EBIT</c:v>
                </c:pt>
              </c:strCache>
            </c:strRef>
          </c:tx>
          <c:spPr>
            <a:ln w="28575" cap="rnd">
              <a:solidFill>
                <a:srgbClr val="637CEF"/>
              </a:solidFill>
              <a:round/>
            </a:ln>
            <a:effectLst/>
          </c:spPr>
          <c:marker>
            <c:symbol val="none"/>
          </c:marker>
          <c:cat>
            <c:numRef>
              <c:f>Kimutatások!$M$18:$O$18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Kimutatások!$M$19:$O$19</c:f>
              <c:numCache>
                <c:formatCode>#,##0</c:formatCode>
                <c:ptCount val="3"/>
                <c:pt idx="0">
                  <c:v>67061.565641723384</c:v>
                </c:pt>
                <c:pt idx="1">
                  <c:v>6601.2506627199182</c:v>
                </c:pt>
                <c:pt idx="2">
                  <c:v>182593.34323754453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2-4B5D-99F7-5E9934DBB8C5}"/>
            </c:ext>
          </c:extLst>
        </c:ser>
        <c:ser>
          <c:idx val="1"/>
          <c:order val="1"/>
          <c:tx>
            <c:strRef>
              <c:f>Kimutatások!$L$20</c:f>
              <c:strCache>
                <c:ptCount val="1"/>
                <c:pt idx="0">
                  <c:v>EBITDA</c:v>
                </c:pt>
              </c:strCache>
            </c:strRef>
          </c:tx>
          <c:spPr>
            <a:ln w="28575" cap="rnd">
              <a:solidFill>
                <a:srgbClr val="E3008C"/>
              </a:solidFill>
              <a:round/>
            </a:ln>
            <a:effectLst/>
          </c:spPr>
          <c:marker>
            <c:symbol val="none"/>
          </c:marker>
          <c:cat>
            <c:numRef>
              <c:f>Kimutatások!$M$18:$O$18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Kimutatások!$M$20:$O$20</c:f>
              <c:numCache>
                <c:formatCode>#,##0</c:formatCode>
                <c:ptCount val="3"/>
                <c:pt idx="0">
                  <c:v>81305.11764172338</c:v>
                </c:pt>
                <c:pt idx="1">
                  <c:v>33013.653523809538</c:v>
                </c:pt>
                <c:pt idx="2">
                  <c:v>238973.83540000004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72-4B5D-99F7-5E9934DBB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4925576"/>
        <c:axId val="1354927624"/>
      </c:lineChart>
      <c:catAx>
        <c:axId val="1354925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927624"/>
        <c:crosses val="autoZero"/>
        <c:auto val="1"/>
        <c:lblAlgn val="ctr"/>
        <c:lblOffset val="100"/>
        <c:noMultiLvlLbl val="0"/>
      </c:catAx>
      <c:valAx>
        <c:axId val="1354927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925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EBITDA és Profit (Adatok eFt-ban)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EBITDA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Kimutatások!$B$45:$F$45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Kimutatások!$B$47:$F$47</c:f>
              <c:numCache>
                <c:formatCode>General</c:formatCode>
                <c:ptCount val="5"/>
                <c:pt idx="0">
                  <c:v>81305.11764172338</c:v>
                </c:pt>
                <c:pt idx="1">
                  <c:v>33013.653523809538</c:v>
                </c:pt>
                <c:pt idx="2">
                  <c:v>238973.83540000004</c:v>
                </c:pt>
                <c:pt idx="3">
                  <c:v>258933.59883899998</c:v>
                </c:pt>
                <c:pt idx="4">
                  <c:v>258196.32403129499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9B2-B846-D13FB681AE58}"/>
            </c:ext>
          </c:extLst>
        </c:ser>
        <c:ser>
          <c:idx val="1"/>
          <c:order val="1"/>
          <c:tx>
            <c:v>Adózott eredmény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Kimutatások!$B$45:$F$45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Kimutatások!$B$48:$F$48</c:f>
              <c:numCache>
                <c:formatCode>General</c:formatCode>
                <c:ptCount val="5"/>
                <c:pt idx="0">
                  <c:v>54656.024733968283</c:v>
                </c:pt>
                <c:pt idx="1">
                  <c:v>744.82182666667859</c:v>
                </c:pt>
                <c:pt idx="2">
                  <c:v>162082.84765400004</c:v>
                </c:pt>
                <c:pt idx="3">
                  <c:v>180246.23238348999</c:v>
                </c:pt>
                <c:pt idx="4">
                  <c:v>179575.31230847799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29-49B2-B846-D13FB681A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5357455"/>
        <c:axId val="1625351215"/>
      </c:barChart>
      <c:lineChart>
        <c:grouping val="standard"/>
        <c:varyColors val="0"/>
        <c:ser>
          <c:idx val="2"/>
          <c:order val="2"/>
          <c:tx>
            <c:v>Profit marzs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Kimutatások!$B$45:$F$45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Kimutatások!$B$52:$F$52</c:f>
              <c:numCache>
                <c:formatCode>0.00%</c:formatCode>
                <c:ptCount val="5"/>
                <c:pt idx="0">
                  <c:v>8.8175358041171298E-2</c:v>
                </c:pt>
                <c:pt idx="1">
                  <c:v>1.429666293009042E-3</c:v>
                </c:pt>
                <c:pt idx="2">
                  <c:v>0.14772622245129352</c:v>
                </c:pt>
                <c:pt idx="3">
                  <c:v>0.36783119462705088</c:v>
                </c:pt>
                <c:pt idx="4">
                  <c:v>0.5153645249264226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29-49B2-B846-D13FB681A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356975"/>
        <c:axId val="1625356015"/>
      </c:lineChart>
      <c:catAx>
        <c:axId val="162535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25351215"/>
        <c:crosses val="autoZero"/>
        <c:auto val="1"/>
        <c:lblAlgn val="ctr"/>
        <c:lblOffset val="100"/>
        <c:noMultiLvlLbl val="0"/>
      </c:catAx>
      <c:valAx>
        <c:axId val="162535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25357455"/>
        <c:crosses val="autoZero"/>
        <c:crossBetween val="between"/>
      </c:valAx>
      <c:valAx>
        <c:axId val="1625356015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25356975"/>
        <c:crosses val="max"/>
        <c:crossBetween val="between"/>
      </c:valAx>
      <c:catAx>
        <c:axId val="16253569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253560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u-HU" sz="1400"/>
              <a:t>Forgási</a:t>
            </a:r>
            <a:r>
              <a:rPr lang="hu-HU" sz="1400" baseline="0"/>
              <a:t> Idő</a:t>
            </a:r>
          </a:p>
          <a:p>
            <a:pPr>
              <a:defRPr/>
            </a:pPr>
            <a:r>
              <a:rPr lang="hu-HU" sz="1200" baseline="0"/>
              <a:t>(Hónap)</a:t>
            </a:r>
            <a:endParaRPr lang="hu-HU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24821813939924181"/>
          <c:w val="0.55105971128608922"/>
          <c:h val="0.6447528433945757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Kimutatások!$L$10</c:f>
              <c:strCache>
                <c:ptCount val="1"/>
                <c:pt idx="0">
                  <c:v>Készletek forgási ideje (hónap)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Kimutatások!$M$9:$O$9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Kimutatások!$M$10:$O$10</c:f>
              <c:numCache>
                <c:formatCode>0.0</c:formatCode>
                <c:ptCount val="3"/>
                <c:pt idx="0">
                  <c:v>7.9442780643493496</c:v>
                </c:pt>
                <c:pt idx="1">
                  <c:v>7.2257760484584308</c:v>
                </c:pt>
                <c:pt idx="2">
                  <c:v>4.8561690001733115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E-44BA-87A5-EF6A4F3542B1}"/>
            </c:ext>
          </c:extLst>
        </c:ser>
        <c:ser>
          <c:idx val="1"/>
          <c:order val="1"/>
          <c:tx>
            <c:strRef>
              <c:f>Kimutatások!$L$11</c:f>
              <c:strCache>
                <c:ptCount val="1"/>
                <c:pt idx="0">
                  <c:v>Vevői követelések forgási ideje (hónap)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dLbls>
            <c:dLbl>
              <c:idx val="0"/>
              <c:spPr>
                <a:solidFill>
                  <a:schemeClr val="accent2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310986671243717E-2"/>
                      <c:h val="3.94350226978922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CEE-44BA-87A5-EF6A4F3542B1}"/>
                </c:ext>
              </c:extLst>
            </c:dLbl>
            <c:spPr>
              <a:solidFill>
                <a:schemeClr val="accent2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Kimutatások!$M$9:$O$9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Kimutatások!$M$11:$O$11</c:f>
              <c:numCache>
                <c:formatCode>0.0</c:formatCode>
                <c:ptCount val="3"/>
                <c:pt idx="0">
                  <c:v>5.4883714927337959</c:v>
                </c:pt>
                <c:pt idx="1">
                  <c:v>7.2579159116734742</c:v>
                </c:pt>
                <c:pt idx="2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EE-44BA-87A5-EF6A4F3542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252275967"/>
        <c:axId val="252281727"/>
        <c:axId val="1387840799"/>
      </c:bar3DChart>
      <c:catAx>
        <c:axId val="25227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2281727"/>
        <c:crosses val="autoZero"/>
        <c:auto val="1"/>
        <c:lblAlgn val="ctr"/>
        <c:lblOffset val="100"/>
        <c:noMultiLvlLbl val="0"/>
      </c:catAx>
      <c:valAx>
        <c:axId val="252281727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52275967"/>
        <c:crosses val="autoZero"/>
        <c:crossBetween val="between"/>
      </c:valAx>
      <c:serAx>
        <c:axId val="13878407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2281727"/>
        <c:crosses val="autoZero"/>
      </c:ser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64260717410322E-2"/>
          <c:y val="0.18398148148148147"/>
          <c:w val="0.50581279729712458"/>
          <c:h val="4.54786404408784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Fedezeti pont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'Költségek&amp;Terv'!$S$23</c:f>
              <c:strCache>
                <c:ptCount val="1"/>
                <c:pt idx="0">
                  <c:v>Fix költség</c:v>
                </c:pt>
              </c:strCache>
            </c:strRef>
          </c:tx>
          <c:spPr>
            <a:ln w="31750" cap="rnd">
              <a:solidFill>
                <a:srgbClr val="637CEF"/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'Költségek&amp;Terv'!$R$24:$R$31</c:f>
              <c:numCache>
                <c:formatCode>General</c:formatCode>
                <c:ptCount val="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'Költségek&amp;Terv'!$S$24:$S$31</c:f>
              <c:numCache>
                <c:formatCode>0</c:formatCode>
                <c:ptCount val="8"/>
                <c:pt idx="0">
                  <c:v>120412592.42400002</c:v>
                </c:pt>
                <c:pt idx="1">
                  <c:v>120412592.42400002</c:v>
                </c:pt>
                <c:pt idx="2">
                  <c:v>120412592.42400002</c:v>
                </c:pt>
                <c:pt idx="3">
                  <c:v>120412592.42400002</c:v>
                </c:pt>
                <c:pt idx="4">
                  <c:v>120412592.42400002</c:v>
                </c:pt>
                <c:pt idx="5">
                  <c:v>120412592.42400002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9F-494F-9E35-1162FDBB9F11}"/>
            </c:ext>
          </c:extLst>
        </c:ser>
        <c:ser>
          <c:idx val="1"/>
          <c:order val="1"/>
          <c:tx>
            <c:strRef>
              <c:f>'Költségek&amp;Terv'!$T$23</c:f>
              <c:strCache>
                <c:ptCount val="1"/>
                <c:pt idx="0">
                  <c:v>Öszköltség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'Költségek&amp;Terv'!$R$24:$R$31</c:f>
              <c:numCache>
                <c:formatCode>General</c:formatCode>
                <c:ptCount val="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'Költségek&amp;Terv'!$T$24:$T$31</c:f>
              <c:numCache>
                <c:formatCode>0</c:formatCode>
                <c:ptCount val="8"/>
                <c:pt idx="0">
                  <c:v>120412592.42400002</c:v>
                </c:pt>
                <c:pt idx="1">
                  <c:v>302850692.42400002</c:v>
                </c:pt>
                <c:pt idx="2">
                  <c:v>485288792.42400002</c:v>
                </c:pt>
                <c:pt idx="3">
                  <c:v>667726892.42400002</c:v>
                </c:pt>
                <c:pt idx="4">
                  <c:v>850164992.42400002</c:v>
                </c:pt>
                <c:pt idx="5">
                  <c:v>1032603092.424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39F-494F-9E35-1162FDBB9F11}"/>
            </c:ext>
          </c:extLst>
        </c:ser>
        <c:ser>
          <c:idx val="2"/>
          <c:order val="2"/>
          <c:tx>
            <c:strRef>
              <c:f>'Költségek&amp;Terv'!$U$23</c:f>
              <c:strCache>
                <c:ptCount val="1"/>
                <c:pt idx="0">
                  <c:v>Árbevétel</c:v>
                </c:pt>
              </c:strCache>
            </c:strRef>
          </c:tx>
          <c:spPr>
            <a:ln w="317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'Költségek&amp;Terv'!$R$24:$R$31</c:f>
              <c:numCache>
                <c:formatCode>General</c:formatCode>
                <c:ptCount val="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'Költségek&amp;Terv'!$U$24:$U$31</c:f>
              <c:numCache>
                <c:formatCode>General</c:formatCode>
                <c:ptCount val="8"/>
                <c:pt idx="0">
                  <c:v>0</c:v>
                </c:pt>
                <c:pt idx="1">
                  <c:v>218925719.99999997</c:v>
                </c:pt>
                <c:pt idx="2">
                  <c:v>437851439.99999994</c:v>
                </c:pt>
                <c:pt idx="3">
                  <c:v>656777159.99999988</c:v>
                </c:pt>
                <c:pt idx="4">
                  <c:v>875702879.99999988</c:v>
                </c:pt>
                <c:pt idx="5">
                  <c:v>1094628599.9999998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39F-494F-9E35-1162FDBB9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4142471"/>
        <c:axId val="734144519"/>
      </c:scatterChart>
      <c:valAx>
        <c:axId val="734142471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144519"/>
        <c:crosses val="autoZero"/>
        <c:crossBetween val="midCat"/>
      </c:valAx>
      <c:valAx>
        <c:axId val="734144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1424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'Költségek&amp;Terv'!$S$5</c:f>
              <c:strCache>
                <c:ptCount val="1"/>
                <c:pt idx="0">
                  <c:v>Fix költség</c:v>
                </c:pt>
              </c:strCache>
            </c:strRef>
          </c:tx>
          <c:spPr>
            <a:ln w="25400" cap="rnd">
              <a:solidFill>
                <a:srgbClr val="637CEF"/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'Költségek&amp;Terv'!$R$6:$R$13</c:f>
              <c:numCache>
                <c:formatCode>General</c:formatCode>
                <c:ptCount val="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'Költségek&amp;Terv'!$S$6:$S$13</c:f>
              <c:numCache>
                <c:formatCode>0</c:formatCode>
                <c:ptCount val="8"/>
                <c:pt idx="0">
                  <c:v>108371333.18160002</c:v>
                </c:pt>
                <c:pt idx="1">
                  <c:v>108371333.18160002</c:v>
                </c:pt>
                <c:pt idx="2">
                  <c:v>108371333.18160002</c:v>
                </c:pt>
                <c:pt idx="3">
                  <c:v>108371333.18160002</c:v>
                </c:pt>
                <c:pt idx="4">
                  <c:v>108371333.18160002</c:v>
                </c:pt>
                <c:pt idx="5">
                  <c:v>108371333.18160002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27-4D59-B46E-44417FDA16D5}"/>
            </c:ext>
          </c:extLst>
        </c:ser>
        <c:ser>
          <c:idx val="1"/>
          <c:order val="1"/>
          <c:tx>
            <c:strRef>
              <c:f>'Költségek&amp;Terv'!$T$5</c:f>
              <c:strCache>
                <c:ptCount val="1"/>
                <c:pt idx="0">
                  <c:v>Öszköltség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'Költségek&amp;Terv'!$R$6:$R$13</c:f>
              <c:numCache>
                <c:formatCode>General</c:formatCode>
                <c:ptCount val="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'Költségek&amp;Terv'!$T$6:$T$13</c:f>
              <c:numCache>
                <c:formatCode>0</c:formatCode>
                <c:ptCount val="8"/>
                <c:pt idx="0">
                  <c:v>108371333.18160002</c:v>
                </c:pt>
                <c:pt idx="1">
                  <c:v>272565623.18160003</c:v>
                </c:pt>
                <c:pt idx="2">
                  <c:v>436759913.18160003</c:v>
                </c:pt>
                <c:pt idx="3">
                  <c:v>600954203.18159997</c:v>
                </c:pt>
                <c:pt idx="4">
                  <c:v>765148493.18159997</c:v>
                </c:pt>
                <c:pt idx="5">
                  <c:v>929342783.18159997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27-4D59-B46E-44417FDA16D5}"/>
            </c:ext>
          </c:extLst>
        </c:ser>
        <c:ser>
          <c:idx val="2"/>
          <c:order val="2"/>
          <c:tx>
            <c:strRef>
              <c:f>'Költségek&amp;Terv'!$U$5</c:f>
              <c:strCache>
                <c:ptCount val="1"/>
                <c:pt idx="0">
                  <c:v>Árbevétel</c:v>
                </c:pt>
              </c:strCache>
            </c:strRef>
          </c:tx>
          <c:spPr>
            <a:ln w="317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'Költségek&amp;Terv'!$R$6:$R$13</c:f>
              <c:numCache>
                <c:formatCode>General</c:formatCode>
                <c:ptCount val="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'Költségek&amp;Terv'!$U$6:$U$13</c:f>
              <c:numCache>
                <c:formatCode>General</c:formatCode>
                <c:ptCount val="8"/>
                <c:pt idx="0">
                  <c:v>0</c:v>
                </c:pt>
                <c:pt idx="1">
                  <c:v>197033147.99999997</c:v>
                </c:pt>
                <c:pt idx="2">
                  <c:v>394066295.99999994</c:v>
                </c:pt>
                <c:pt idx="3">
                  <c:v>591099443.99999988</c:v>
                </c:pt>
                <c:pt idx="4">
                  <c:v>788132591.99999988</c:v>
                </c:pt>
                <c:pt idx="5">
                  <c:v>985165739.99999988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627-4D59-B46E-44417FDA1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474312"/>
        <c:axId val="1070844424"/>
      </c:scatterChart>
      <c:valAx>
        <c:axId val="1069474312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0844424"/>
        <c:crosses val="autoZero"/>
        <c:crossBetween val="midCat"/>
        <c:majorUnit val="50"/>
      </c:valAx>
      <c:valAx>
        <c:axId val="1070844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9474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'Költségek&amp;Terv'!$S$42</c:f>
              <c:strCache>
                <c:ptCount val="1"/>
                <c:pt idx="0">
                  <c:v>Fix költség</c:v>
                </c:pt>
              </c:strCache>
            </c:strRef>
          </c:tx>
          <c:spPr>
            <a:ln w="25400" cap="rnd">
              <a:solidFill>
                <a:srgbClr val="637CEF"/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'Költségek&amp;Terv'!$R$43:$R$48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'Költségek&amp;Terv'!$S$43:$S$48</c:f>
              <c:numCache>
                <c:formatCode>0</c:formatCode>
                <c:ptCount val="6"/>
                <c:pt idx="0">
                  <c:v>131260489.36000001</c:v>
                </c:pt>
                <c:pt idx="1">
                  <c:v>131260489.36000001</c:v>
                </c:pt>
                <c:pt idx="2">
                  <c:v>131260489.36000001</c:v>
                </c:pt>
                <c:pt idx="3">
                  <c:v>131260489.36000001</c:v>
                </c:pt>
                <c:pt idx="4">
                  <c:v>131260489.36000001</c:v>
                </c:pt>
                <c:pt idx="5">
                  <c:v>131260489.36000001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38-4127-A96C-3CB831C52DB4}"/>
            </c:ext>
          </c:extLst>
        </c:ser>
        <c:ser>
          <c:idx val="1"/>
          <c:order val="1"/>
          <c:tx>
            <c:strRef>
              <c:f>'Költségek&amp;Terv'!$T$42</c:f>
              <c:strCache>
                <c:ptCount val="1"/>
                <c:pt idx="0">
                  <c:v>Öszköltség</c:v>
                </c:pt>
              </c:strCache>
            </c:strRef>
          </c:tx>
          <c:spPr>
            <a:ln w="317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'Költségek&amp;Terv'!$R$43:$R$48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'Költségek&amp;Terv'!$T$43:$T$48</c:f>
              <c:numCache>
                <c:formatCode>0</c:formatCode>
                <c:ptCount val="6"/>
                <c:pt idx="0">
                  <c:v>131260489.36000001</c:v>
                </c:pt>
                <c:pt idx="1">
                  <c:v>333969489.36000001</c:v>
                </c:pt>
                <c:pt idx="2">
                  <c:v>536678489.36000001</c:v>
                </c:pt>
                <c:pt idx="3">
                  <c:v>739387489.36000001</c:v>
                </c:pt>
                <c:pt idx="4">
                  <c:v>942096489.36000001</c:v>
                </c:pt>
                <c:pt idx="5">
                  <c:v>1144805489.3600001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38-4127-A96C-3CB831C52DB4}"/>
            </c:ext>
          </c:extLst>
        </c:ser>
        <c:ser>
          <c:idx val="2"/>
          <c:order val="2"/>
          <c:tx>
            <c:strRef>
              <c:f>'Költségek&amp;Terv'!$U$42</c:f>
              <c:strCache>
                <c:ptCount val="1"/>
                <c:pt idx="0">
                  <c:v>Árbevétel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'Költségek&amp;Terv'!$R$43:$R$48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'Költségek&amp;Terv'!$U$43:$U$48</c:f>
              <c:numCache>
                <c:formatCode>General</c:formatCode>
                <c:ptCount val="6"/>
                <c:pt idx="0">
                  <c:v>0</c:v>
                </c:pt>
                <c:pt idx="1">
                  <c:v>243250800</c:v>
                </c:pt>
                <c:pt idx="2">
                  <c:v>486501600</c:v>
                </c:pt>
                <c:pt idx="3">
                  <c:v>729752400</c:v>
                </c:pt>
                <c:pt idx="4">
                  <c:v>973003200</c:v>
                </c:pt>
                <c:pt idx="5">
                  <c:v>1216254000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038-4127-A96C-3CB831C5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473864"/>
        <c:axId val="1069103112"/>
      </c:scatterChart>
      <c:valAx>
        <c:axId val="1068473864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9103112"/>
        <c:crosses val="autoZero"/>
        <c:crossBetween val="midCat"/>
        <c:majorUnit val="50"/>
      </c:valAx>
      <c:valAx>
        <c:axId val="106910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473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ÁTLAG / FEDEZET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'Költségek&amp;Terv'!$S$97</c:f>
              <c:strCache>
                <c:ptCount val="1"/>
                <c:pt idx="0">
                  <c:v>Fix költség</c:v>
                </c:pt>
              </c:strCache>
            </c:strRef>
          </c:tx>
          <c:spPr>
            <a:ln w="25400" cap="rnd">
              <a:solidFill>
                <a:srgbClr val="637CEF"/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'Költségek&amp;Terv'!$R$98:$R$103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'Költségek&amp;Terv'!$S$98:$S$103</c:f>
              <c:numCache>
                <c:formatCode>0</c:formatCode>
                <c:ptCount val="6"/>
                <c:pt idx="0">
                  <c:v>129572213.32808483</c:v>
                </c:pt>
                <c:pt idx="1">
                  <c:v>129572213.32808483</c:v>
                </c:pt>
                <c:pt idx="2">
                  <c:v>129572213.32808483</c:v>
                </c:pt>
                <c:pt idx="3">
                  <c:v>129572213.32808483</c:v>
                </c:pt>
                <c:pt idx="4">
                  <c:v>129572213.32808483</c:v>
                </c:pt>
                <c:pt idx="5">
                  <c:v>129572213.32808483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A3-425B-9514-AFD74E997B03}"/>
            </c:ext>
          </c:extLst>
        </c:ser>
        <c:ser>
          <c:idx val="1"/>
          <c:order val="1"/>
          <c:tx>
            <c:strRef>
              <c:f>'Költségek&amp;Terv'!$T$97</c:f>
              <c:strCache>
                <c:ptCount val="1"/>
                <c:pt idx="0">
                  <c:v>Öszköltség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'Költségek&amp;Terv'!$R$98:$R$103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'Költségek&amp;Terv'!$T$98:$T$103</c:f>
              <c:numCache>
                <c:formatCode>General</c:formatCode>
                <c:ptCount val="6"/>
                <c:pt idx="0">
                  <c:v>129572213.32808483</c:v>
                </c:pt>
                <c:pt idx="1">
                  <c:v>328336291.52808487</c:v>
                </c:pt>
                <c:pt idx="2">
                  <c:v>527100369.72808486</c:v>
                </c:pt>
                <c:pt idx="3">
                  <c:v>725864447.92808485</c:v>
                </c:pt>
                <c:pt idx="4">
                  <c:v>924628526.1280849</c:v>
                </c:pt>
                <c:pt idx="5">
                  <c:v>1123392604.3280849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A3-425B-9514-AFD74E997B03}"/>
            </c:ext>
          </c:extLst>
        </c:ser>
        <c:ser>
          <c:idx val="2"/>
          <c:order val="2"/>
          <c:tx>
            <c:strRef>
              <c:f>'Költségek&amp;Terv'!$U$97</c:f>
              <c:strCache>
                <c:ptCount val="1"/>
                <c:pt idx="0">
                  <c:v>Árbevétel</c:v>
                </c:pt>
              </c:strCache>
            </c:strRef>
          </c:tx>
          <c:spPr>
            <a:ln w="317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'Költségek&amp;Terv'!$R$98:$R$103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'Költségek&amp;Terv'!$U$98:$U$103</c:f>
              <c:numCache>
                <c:formatCode>General</c:formatCode>
                <c:ptCount val="6"/>
                <c:pt idx="0">
                  <c:v>0</c:v>
                </c:pt>
                <c:pt idx="1">
                  <c:v>238516893.83999997</c:v>
                </c:pt>
                <c:pt idx="2">
                  <c:v>477033787.67999995</c:v>
                </c:pt>
                <c:pt idx="3">
                  <c:v>715550681.51999998</c:v>
                </c:pt>
                <c:pt idx="4">
                  <c:v>954067575.3599999</c:v>
                </c:pt>
                <c:pt idx="5">
                  <c:v>1192584469.2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6A3-425B-9514-AFD74E997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7003272"/>
        <c:axId val="1197005320"/>
      </c:scatterChart>
      <c:valAx>
        <c:axId val="1197003272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7005320"/>
        <c:crosses val="autoZero"/>
        <c:crossBetween val="midCat"/>
        <c:majorUnit val="50"/>
      </c:valAx>
      <c:valAx>
        <c:axId val="119700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7003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2022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hu-HU" sz="1600" b="1" i="0" u="none" strike="noStrike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ptos Narrow" panose="02110004020202020204"/>
            </a:rPr>
            <a:t>2022</a:t>
          </a:r>
        </a:p>
      </cx:txPr>
    </cx:title>
    <cx:plotArea>
      <cx:plotAreaRegion>
        <cx:series layoutId="waterfall" uniqueId="{450BFEE6-5A55-47EE-B0FB-4C16EE8453AB}">
          <cx:dataLabels pos="inEnd">
            <cx:spPr>
              <a:noFill/>
              <a:ln>
                <a:noFill/>
              </a:ln>
            </cx:spPr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chemeClr val="tx1"/>
                    </a:solidFill>
                  </a:defRPr>
                </a:pPr>
                <a:endParaRPr lang="hu-HU" sz="900" b="0" i="0" u="none" strike="noStrike" baseline="0">
                  <a:solidFill>
                    <a:schemeClr val="tx1"/>
                  </a:solidFill>
                  <a:latin typeface="Aptos Narrow" panose="02110004020202020204"/>
                </a:endParaRPr>
              </a:p>
            </cx:txPr>
            <cx:visibility seriesName="0" categoryName="0" value="1"/>
            <cx:dataLabel idx="2">
              <cx:visibility seriesName="0" categoryName="0" value="1"/>
            </cx:dataLabel>
          </cx:dataLabels>
          <cx:dataId val="0"/>
          <cx:layoutPr>
            <cx:visibility connectorLines="1"/>
            <cx:subtotals>
              <cx:idx val="2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sz="1200" b="0" i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/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hu-HU" sz="1600" b="1" i="0" u="none" strike="noStrike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ptos Narrow" panose="02110004020202020204"/>
              </a:rPr>
              <a:t>2023</a:t>
            </a:r>
          </a:p>
          <a:p>
            <a:pPr algn="ctr" rtl="0">
              <a:defRPr/>
            </a:pPr>
            <a:endParaRPr lang="hu-HU" sz="1600" b="1" i="0" u="none" strike="noStrike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ptos Narrow" panose="02110004020202020204"/>
            </a:endParaRPr>
          </a:p>
        </cx:rich>
      </cx:tx>
    </cx:title>
    <cx:plotArea>
      <cx:plotAreaRegion>
        <cx:series layoutId="waterfall" uniqueId="{B212820D-5E0F-4C5A-B72A-0E1A82A0B085}"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chemeClr val="tx1"/>
                    </a:solidFill>
                  </a:defRPr>
                </a:pPr>
                <a:endParaRPr lang="hu-HU" sz="900" b="0" i="0" u="none" strike="noStrike" baseline="0">
                  <a:solidFill>
                    <a:schemeClr val="tx1"/>
                  </a:solidFill>
                  <a:latin typeface="Aptos Narrow" panose="02110004020202020204"/>
                </a:endParaRPr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sz="1200" b="0" i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/>
        </a:p>
      </cx:txPr>
    </cx:legend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hu-HU" sz="1600" b="1" i="0" u="none" strike="noStrike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ptos Narrow" panose="02110004020202020204"/>
              </a:rPr>
              <a:t>"Vízesés Ábra 2024"</a:t>
            </a:r>
          </a:p>
          <a:p>
            <a:pPr algn="ctr" rtl="0">
              <a:defRPr/>
            </a:pPr>
            <a:endParaRPr lang="hu-HU" sz="1600" b="1" i="0" u="none" strike="noStrike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ptos Narrow" panose="02110004020202020204"/>
            </a:endParaRPr>
          </a:p>
        </cx:rich>
      </cx:tx>
    </cx:title>
    <cx:plotArea>
      <cx:plotAreaRegion>
        <cx:series layoutId="waterfall" uniqueId="{3ECA838E-8133-4CB2-AA42-A66E57505802}"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chemeClr val="tx1"/>
                    </a:solidFill>
                  </a:defRPr>
                </a:pPr>
                <a:endParaRPr lang="hu-HU" sz="900" b="0" i="0" u="none" strike="noStrike" baseline="0">
                  <a:solidFill>
                    <a:schemeClr val="tx1"/>
                  </a:solidFill>
                  <a:latin typeface="Aptos Narrow" panose="02110004020202020204"/>
                </a:endParaRPr>
              </a:p>
            </cx:txPr>
            <cx:visibility seriesName="0" categoryName="0" value="1"/>
          </cx:dataLabels>
          <cx:dataId val="0"/>
          <cx:layoutPr>
            <cx:subtotals>
              <cx:idx val="2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/>
        <cx:majorGridlines/>
        <cx:tickLabels/>
        <cx:numFmt formatCode="0 &quot;Ft&quot;" sourceLinked="0"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hu-HU" sz="900" b="0" i="0" u="none" strike="noStrike" baseline="0">
            <a:solidFill>
              <a:sysClr val="window" lastClr="FFFFFF">
                <a:lumMod val="95000"/>
              </a:sysClr>
            </a:solidFill>
            <a:latin typeface="Aptos Narrow" panose="0211000402020202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2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3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4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7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72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72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72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14/relationships/chartEx" Target="../charts/chartEx3.xml"/><Relationship Id="rId3" Type="http://schemas.openxmlformats.org/officeDocument/2006/relationships/chart" Target="../charts/chart2.xml"/><Relationship Id="rId7" Type="http://schemas.microsoft.com/office/2014/relationships/chartEx" Target="../charts/chartEx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microsoft.com/office/2014/relationships/chartEx" Target="../charts/chartEx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8.xml"/><Relationship Id="rId7" Type="http://schemas.openxmlformats.org/officeDocument/2006/relationships/image" Target="../media/image2.png"/><Relationship Id="rId12" Type="http://schemas.openxmlformats.org/officeDocument/2006/relationships/image" Target="../media/image7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image" Target="../media/image6.png"/><Relationship Id="rId5" Type="http://schemas.openxmlformats.org/officeDocument/2006/relationships/chart" Target="../charts/chart10.xml"/><Relationship Id="rId10" Type="http://schemas.openxmlformats.org/officeDocument/2006/relationships/image" Target="../media/image5.png"/><Relationship Id="rId4" Type="http://schemas.openxmlformats.org/officeDocument/2006/relationships/chart" Target="../charts/chart9.xml"/><Relationship Id="rId9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571500</xdr:colOff>
      <xdr:row>0</xdr:row>
      <xdr:rowOff>66675</xdr:rowOff>
    </xdr:from>
    <xdr:to>
      <xdr:col>30</xdr:col>
      <xdr:colOff>266700</xdr:colOff>
      <xdr:row>14</xdr:row>
      <xdr:rowOff>86139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D8B50B97-2EAA-BB59-1895-2ECBEE49E35E}"/>
            </a:ext>
            <a:ext uri="{147F2762-F138-4A5C-976F-8EAC2B608ADB}">
              <a16:predDERef xmlns:a16="http://schemas.microsoft.com/office/drawing/2014/main" pred="{7B66AF8E-80DE-BD74-B8E5-3FC92700C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26725" y="66675"/>
          <a:ext cx="4572000" cy="2667000"/>
        </a:xfrm>
        <a:prstGeom prst="rect">
          <a:avLst/>
        </a:prstGeom>
      </xdr:spPr>
    </xdr:pic>
    <xdr:clientData/>
  </xdr:twoCellAnchor>
  <xdr:twoCellAnchor>
    <xdr:from>
      <xdr:col>0</xdr:col>
      <xdr:colOff>111786</xdr:colOff>
      <xdr:row>139</xdr:row>
      <xdr:rowOff>106383</xdr:rowOff>
    </xdr:from>
    <xdr:to>
      <xdr:col>5</xdr:col>
      <xdr:colOff>584861</xdr:colOff>
      <xdr:row>163</xdr:row>
      <xdr:rowOff>154008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53B0DE-0662-DEA2-329E-2CCE6B96E56A}"/>
            </a:ext>
            <a:ext uri="{147F2762-F138-4A5C-976F-8EAC2B608ADB}">
              <a16:predDERef xmlns:a16="http://schemas.microsoft.com/office/drawing/2014/main" pred="{D8B50B97-2EAA-BB59-1895-2ECBEE49E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895350</xdr:colOff>
      <xdr:row>29</xdr:row>
      <xdr:rowOff>100013</xdr:rowOff>
    </xdr:from>
    <xdr:to>
      <xdr:col>11</xdr:col>
      <xdr:colOff>1114425</xdr:colOff>
      <xdr:row>44</xdr:row>
      <xdr:rowOff>109538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90D4434-4CF5-5BDB-208E-6D809A919463}"/>
            </a:ext>
            <a:ext uri="{147F2762-F138-4A5C-976F-8EAC2B608ADB}">
              <a16:predDERef xmlns:a16="http://schemas.microsoft.com/office/drawing/2014/main" pred="{CA53B0DE-0662-DEA2-329E-2CCE6B96E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428625</xdr:colOff>
      <xdr:row>20</xdr:row>
      <xdr:rowOff>133350</xdr:rowOff>
    </xdr:from>
    <xdr:to>
      <xdr:col>23</xdr:col>
      <xdr:colOff>123825</xdr:colOff>
      <xdr:row>35</xdr:row>
      <xdr:rowOff>171450</xdr:rowOff>
    </xdr:to>
    <xdr:graphicFrame macro="">
      <xdr:nvGraphicFramePr>
        <xdr:cNvPr id="7" name="Diagram 21">
          <a:extLst>
            <a:ext uri="{FF2B5EF4-FFF2-40B4-BE49-F238E27FC236}">
              <a16:creationId xmlns:a16="http://schemas.microsoft.com/office/drawing/2014/main" id="{74BC55F7-B6F6-E521-FC30-3F5F13FA84CB}"/>
            </a:ext>
            <a:ext uri="{147F2762-F138-4A5C-976F-8EAC2B608ADB}">
              <a16:predDERef xmlns:a16="http://schemas.microsoft.com/office/drawing/2014/main" pred="{890D4434-4CF5-5BDB-208E-6D809A919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78377</xdr:colOff>
      <xdr:row>61</xdr:row>
      <xdr:rowOff>16403</xdr:rowOff>
    </xdr:from>
    <xdr:to>
      <xdr:col>7</xdr:col>
      <xdr:colOff>277957</xdr:colOff>
      <xdr:row>92</xdr:row>
      <xdr:rowOff>91787</xdr:rowOff>
    </xdr:to>
    <xdr:graphicFrame macro="">
      <xdr:nvGraphicFramePr>
        <xdr:cNvPr id="26" name="Diagram 12">
          <a:extLst>
            <a:ext uri="{FF2B5EF4-FFF2-40B4-BE49-F238E27FC236}">
              <a16:creationId xmlns:a16="http://schemas.microsoft.com/office/drawing/2014/main" id="{DF89978B-1439-2A2D-CD28-287FD2F4F30E}"/>
            </a:ext>
            <a:ext uri="{147F2762-F138-4A5C-976F-8EAC2B608ADB}">
              <a16:predDERef xmlns:a16="http://schemas.microsoft.com/office/drawing/2014/main" pred="{C9069FAE-1AFC-E742-35F4-AFCAFA08E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73854</xdr:colOff>
      <xdr:row>94</xdr:row>
      <xdr:rowOff>71310</xdr:rowOff>
    </xdr:from>
    <xdr:to>
      <xdr:col>6</xdr:col>
      <xdr:colOff>190500</xdr:colOff>
      <xdr:row>124</xdr:row>
      <xdr:rowOff>69273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Diagram 4">
              <a:extLst>
                <a:ext uri="{FF2B5EF4-FFF2-40B4-BE49-F238E27FC236}">
                  <a16:creationId xmlns:a16="http://schemas.microsoft.com/office/drawing/2014/main" id="{332FB08B-0ED5-D60C-6D83-F3978C6420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Ez a diagram nem érhető el az Excel ezen verziójában.
Ha szerkeszti ezt az alakzatot, vagy más formátumba menti a munkafüzetet, azzal végleg tönkreteszi a diagramot.</a:t>
              </a:r>
            </a:p>
          </xdr:txBody>
        </xdr:sp>
      </mc:Fallback>
    </mc:AlternateContent>
    <xdr:clientData/>
  </xdr:twoCellAnchor>
  <xdr:twoCellAnchor>
    <xdr:from>
      <xdr:col>6</xdr:col>
      <xdr:colOff>445190</xdr:colOff>
      <xdr:row>94</xdr:row>
      <xdr:rowOff>101465</xdr:rowOff>
    </xdr:from>
    <xdr:to>
      <xdr:col>20</xdr:col>
      <xdr:colOff>119062</xdr:colOff>
      <xdr:row>124</xdr:row>
      <xdr:rowOff>71437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Diagram 5">
              <a:extLst>
                <a:ext uri="{FF2B5EF4-FFF2-40B4-BE49-F238E27FC236}">
                  <a16:creationId xmlns:a16="http://schemas.microsoft.com/office/drawing/2014/main" id="{1DB2CA03-5170-17B0-CBAA-B07BF8CFF5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Ez a diagram nem érhető el az Excel ezen verziójában.
Ha szerkeszti ezt az alakzatot, vagy más formátumba menti a munkafüzetet, azzal végleg tönkreteszi a diagramot.</a:t>
              </a:r>
            </a:p>
          </xdr:txBody>
        </xdr:sp>
      </mc:Fallback>
    </mc:AlternateContent>
    <xdr:clientData/>
  </xdr:twoCellAnchor>
  <xdr:twoCellAnchor>
    <xdr:from>
      <xdr:col>20</xdr:col>
      <xdr:colOff>571499</xdr:colOff>
      <xdr:row>94</xdr:row>
      <xdr:rowOff>95248</xdr:rowOff>
    </xdr:from>
    <xdr:to>
      <xdr:col>37</xdr:col>
      <xdr:colOff>500062</xdr:colOff>
      <xdr:row>125</xdr:row>
      <xdr:rowOff>23812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Diagram 8">
              <a:extLst>
                <a:ext uri="{FF2B5EF4-FFF2-40B4-BE49-F238E27FC236}">
                  <a16:creationId xmlns:a16="http://schemas.microsoft.com/office/drawing/2014/main" id="{C1B861C1-1309-CB98-3A4A-B014E30D74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Ez a diagram nem érhető el az Excel ezen verziójában.
Ha szerkeszti ezt az alakzatot, vagy más formátumba menti a munkafüzetet, azzal végleg tönkreteszi a diagramot.</a:t>
              </a:r>
            </a:p>
          </xdr:txBody>
        </xdr:sp>
      </mc:Fallback>
    </mc:AlternateContent>
    <xdr:clientData/>
  </xdr:twoCellAnchor>
  <xdr:twoCellAnchor>
    <xdr:from>
      <xdr:col>23</xdr:col>
      <xdr:colOff>302601</xdr:colOff>
      <xdr:row>14</xdr:row>
      <xdr:rowOff>161191</xdr:rowOff>
    </xdr:from>
    <xdr:to>
      <xdr:col>36</xdr:col>
      <xdr:colOff>483577</xdr:colOff>
      <xdr:row>39</xdr:row>
      <xdr:rowOff>93783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5778F191-FED3-91E4-EDB5-1344CC6B2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733425</xdr:colOff>
      <xdr:row>17</xdr:row>
      <xdr:rowOff>9525</xdr:rowOff>
    </xdr:from>
    <xdr:to>
      <xdr:col>28</xdr:col>
      <xdr:colOff>381000</xdr:colOff>
      <xdr:row>33</xdr:row>
      <xdr:rowOff>85725</xdr:rowOff>
    </xdr:to>
    <xdr:graphicFrame macro="">
      <xdr:nvGraphicFramePr>
        <xdr:cNvPr id="13" name="Diagram 13">
          <a:extLst>
            <a:ext uri="{FF2B5EF4-FFF2-40B4-BE49-F238E27FC236}">
              <a16:creationId xmlns:a16="http://schemas.microsoft.com/office/drawing/2014/main" id="{6A4C2B6C-6E95-DE15-3B05-8A768BB0B7E4}"/>
            </a:ext>
            <a:ext uri="{147F2762-F138-4A5C-976F-8EAC2B608ADB}">
              <a16:predDERef xmlns:a16="http://schemas.microsoft.com/office/drawing/2014/main" pred="{E40EB595-B455-5649-C7D6-619EAC538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904875</xdr:colOff>
      <xdr:row>0</xdr:row>
      <xdr:rowOff>19050</xdr:rowOff>
    </xdr:from>
    <xdr:to>
      <xdr:col>27</xdr:col>
      <xdr:colOff>876300</xdr:colOff>
      <xdr:row>13</xdr:row>
      <xdr:rowOff>123825</xdr:rowOff>
    </xdr:to>
    <xdr:graphicFrame macro="">
      <xdr:nvGraphicFramePr>
        <xdr:cNvPr id="14" name="Diagram 4">
          <a:extLst>
            <a:ext uri="{FF2B5EF4-FFF2-40B4-BE49-F238E27FC236}">
              <a16:creationId xmlns:a16="http://schemas.microsoft.com/office/drawing/2014/main" id="{8B43EB1F-1197-4239-D5E0-1D927BB38627}"/>
            </a:ext>
            <a:ext uri="{147F2762-F138-4A5C-976F-8EAC2B608ADB}">
              <a16:predDERef xmlns:a16="http://schemas.microsoft.com/office/drawing/2014/main" pred="{6A4C2B6C-6E95-DE15-3B05-8A768BB0B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685800</xdr:colOff>
      <xdr:row>36</xdr:row>
      <xdr:rowOff>38099</xdr:rowOff>
    </xdr:from>
    <xdr:to>
      <xdr:col>28</xdr:col>
      <xdr:colOff>409575</xdr:colOff>
      <xdr:row>51</xdr:row>
      <xdr:rowOff>38099</xdr:rowOff>
    </xdr:to>
    <xdr:graphicFrame macro="">
      <xdr:nvGraphicFramePr>
        <xdr:cNvPr id="15" name="Diagram 6">
          <a:extLst>
            <a:ext uri="{FF2B5EF4-FFF2-40B4-BE49-F238E27FC236}">
              <a16:creationId xmlns:a16="http://schemas.microsoft.com/office/drawing/2014/main" id="{99A1F7B4-D676-49AC-F0E0-4E9A145956F5}"/>
            </a:ext>
            <a:ext uri="{147F2762-F138-4A5C-976F-8EAC2B608ADB}">
              <a16:predDERef xmlns:a16="http://schemas.microsoft.com/office/drawing/2014/main" pred="{8B43EB1F-1197-4239-D5E0-1D927BB38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702129</xdr:colOff>
      <xdr:row>88</xdr:row>
      <xdr:rowOff>157843</xdr:rowOff>
    </xdr:from>
    <xdr:to>
      <xdr:col>28</xdr:col>
      <xdr:colOff>200025</xdr:colOff>
      <xdr:row>105</xdr:row>
      <xdr:rowOff>66675</xdr:rowOff>
    </xdr:to>
    <xdr:graphicFrame macro="">
      <xdr:nvGraphicFramePr>
        <xdr:cNvPr id="16" name="Diagram 9">
          <a:extLst>
            <a:ext uri="{FF2B5EF4-FFF2-40B4-BE49-F238E27FC236}">
              <a16:creationId xmlns:a16="http://schemas.microsoft.com/office/drawing/2014/main" id="{176CF4E1-E326-38E3-4B01-B5EFC7E46164}"/>
            </a:ext>
            <a:ext uri="{147F2762-F138-4A5C-976F-8EAC2B608ADB}">
              <a16:predDERef xmlns:a16="http://schemas.microsoft.com/office/drawing/2014/main" pred="{99A1F7B4-D676-49AC-F0E0-4E9A14595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876299</xdr:colOff>
      <xdr:row>53</xdr:row>
      <xdr:rowOff>85724</xdr:rowOff>
    </xdr:from>
    <xdr:to>
      <xdr:col>28</xdr:col>
      <xdr:colOff>438149</xdr:colOff>
      <xdr:row>69</xdr:row>
      <xdr:rowOff>142874</xdr:rowOff>
    </xdr:to>
    <xdr:graphicFrame macro="">
      <xdr:nvGraphicFramePr>
        <xdr:cNvPr id="17" name="Diagram 2">
          <a:extLst>
            <a:ext uri="{FF2B5EF4-FFF2-40B4-BE49-F238E27FC236}">
              <a16:creationId xmlns:a16="http://schemas.microsoft.com/office/drawing/2014/main" id="{24FF0F7C-4246-4644-3590-BBB7082C2531}"/>
            </a:ext>
            <a:ext uri="{147F2762-F138-4A5C-976F-8EAC2B608ADB}">
              <a16:predDERef xmlns:a16="http://schemas.microsoft.com/office/drawing/2014/main" pred="{176CF4E1-E326-38E3-4B01-B5EFC7E46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19050</xdr:colOff>
      <xdr:row>70</xdr:row>
      <xdr:rowOff>142875</xdr:rowOff>
    </xdr:from>
    <xdr:to>
      <xdr:col>28</xdr:col>
      <xdr:colOff>457200</xdr:colOff>
      <xdr:row>86</xdr:row>
      <xdr:rowOff>38100</xdr:rowOff>
    </xdr:to>
    <xdr:graphicFrame macro="">
      <xdr:nvGraphicFramePr>
        <xdr:cNvPr id="18" name="Diagram 3">
          <a:extLst>
            <a:ext uri="{FF2B5EF4-FFF2-40B4-BE49-F238E27FC236}">
              <a16:creationId xmlns:a16="http://schemas.microsoft.com/office/drawing/2014/main" id="{5195D45B-7B2B-0ACE-93CF-2063874089C9}"/>
            </a:ext>
            <a:ext uri="{147F2762-F138-4A5C-976F-8EAC2B608ADB}">
              <a16:predDERef xmlns:a16="http://schemas.microsoft.com/office/drawing/2014/main" pred="{24FF0F7C-4246-4644-3590-BBB7082C2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44</xdr:col>
      <xdr:colOff>38100</xdr:colOff>
      <xdr:row>37</xdr:row>
      <xdr:rowOff>228600</xdr:rowOff>
    </xdr:from>
    <xdr:to>
      <xdr:col>49</xdr:col>
      <xdr:colOff>590550</xdr:colOff>
      <xdr:row>46</xdr:row>
      <xdr:rowOff>155201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92D38E1-6ED2-890F-ACE4-4C7431B293E7}"/>
            </a:ext>
            <a:ext uri="{147F2762-F138-4A5C-976F-8EAC2B608ADB}">
              <a16:predDERef xmlns:a16="http://schemas.microsoft.com/office/drawing/2014/main" pred="{5195D45B-7B2B-0ACE-93CF-20638740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443775" y="7648575"/>
          <a:ext cx="3714750" cy="1828800"/>
        </a:xfrm>
        <a:prstGeom prst="rect">
          <a:avLst/>
        </a:prstGeom>
      </xdr:spPr>
    </xdr:pic>
    <xdr:clientData/>
  </xdr:twoCellAnchor>
  <xdr:twoCellAnchor editAs="oneCell">
    <xdr:from>
      <xdr:col>44</xdr:col>
      <xdr:colOff>114300</xdr:colOff>
      <xdr:row>47</xdr:row>
      <xdr:rowOff>38100</xdr:rowOff>
    </xdr:from>
    <xdr:to>
      <xdr:col>49</xdr:col>
      <xdr:colOff>457200</xdr:colOff>
      <xdr:row>57</xdr:row>
      <xdr:rowOff>2802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12D1202E-01AA-761C-ADC6-D1B4C74698C9}"/>
            </a:ext>
            <a:ext uri="{147F2762-F138-4A5C-976F-8EAC2B608ADB}">
              <a16:predDERef xmlns:a16="http://schemas.microsoft.com/office/drawing/2014/main" pred="{692D38E1-6ED2-890F-ACE4-4C7431B29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519975" y="9505950"/>
          <a:ext cx="3505200" cy="1914525"/>
        </a:xfrm>
        <a:prstGeom prst="rect">
          <a:avLst/>
        </a:prstGeom>
      </xdr:spPr>
    </xdr:pic>
    <xdr:clientData/>
  </xdr:twoCellAnchor>
  <xdr:twoCellAnchor editAs="oneCell">
    <xdr:from>
      <xdr:col>44</xdr:col>
      <xdr:colOff>123825</xdr:colOff>
      <xdr:row>57</xdr:row>
      <xdr:rowOff>95250</xdr:rowOff>
    </xdr:from>
    <xdr:to>
      <xdr:col>49</xdr:col>
      <xdr:colOff>466725</xdr:colOff>
      <xdr:row>65</xdr:row>
      <xdr:rowOff>42582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CDDC3E58-C10C-7BAA-839E-0609201E61DF}"/>
            </a:ext>
            <a:ext uri="{147F2762-F138-4A5C-976F-8EAC2B608ADB}">
              <a16:predDERef xmlns:a16="http://schemas.microsoft.com/office/drawing/2014/main" pred="{12D1202E-01AA-761C-ADC6-D1B4C7469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5529500" y="11468100"/>
          <a:ext cx="3505200" cy="1552575"/>
        </a:xfrm>
        <a:prstGeom prst="rect">
          <a:avLst/>
        </a:prstGeom>
      </xdr:spPr>
    </xdr:pic>
    <xdr:clientData/>
  </xdr:twoCellAnchor>
  <xdr:twoCellAnchor editAs="oneCell">
    <xdr:from>
      <xdr:col>44</xdr:col>
      <xdr:colOff>95250</xdr:colOff>
      <xdr:row>65</xdr:row>
      <xdr:rowOff>152400</xdr:rowOff>
    </xdr:from>
    <xdr:to>
      <xdr:col>50</xdr:col>
      <xdr:colOff>0</xdr:colOff>
      <xdr:row>73</xdr:row>
      <xdr:rowOff>31377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6EC90D43-5052-AA88-176F-8CC410541D0C}"/>
            </a:ext>
            <a:ext uri="{147F2762-F138-4A5C-976F-8EAC2B608ADB}">
              <a16:predDERef xmlns:a16="http://schemas.microsoft.com/office/drawing/2014/main" pred="{CDDC3E58-C10C-7BAA-839E-0609201E6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5500925" y="13096875"/>
          <a:ext cx="3676650" cy="1447800"/>
        </a:xfrm>
        <a:prstGeom prst="rect">
          <a:avLst/>
        </a:prstGeom>
      </xdr:spPr>
    </xdr:pic>
    <xdr:clientData/>
  </xdr:twoCellAnchor>
  <xdr:twoCellAnchor editAs="oneCell">
    <xdr:from>
      <xdr:col>44</xdr:col>
      <xdr:colOff>38100</xdr:colOff>
      <xdr:row>74</xdr:row>
      <xdr:rowOff>28575</xdr:rowOff>
    </xdr:from>
    <xdr:to>
      <xdr:col>49</xdr:col>
      <xdr:colOff>533400</xdr:colOff>
      <xdr:row>83</xdr:row>
      <xdr:rowOff>137832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C1F87B08-E829-CAD9-0F5B-CA67315C5FEA}"/>
            </a:ext>
            <a:ext uri="{147F2762-F138-4A5C-976F-8EAC2B608ADB}">
              <a16:predDERef xmlns:a16="http://schemas.microsoft.com/office/drawing/2014/main" pred="{6EC90D43-5052-AA88-176F-8CC410541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443775" y="14687550"/>
          <a:ext cx="3657600" cy="1828800"/>
        </a:xfrm>
        <a:prstGeom prst="rect">
          <a:avLst/>
        </a:prstGeom>
      </xdr:spPr>
    </xdr:pic>
    <xdr:clientData/>
  </xdr:twoCellAnchor>
  <xdr:twoCellAnchor editAs="oneCell">
    <xdr:from>
      <xdr:col>50</xdr:col>
      <xdr:colOff>108696</xdr:colOff>
      <xdr:row>52</xdr:row>
      <xdr:rowOff>117662</xdr:rowOff>
    </xdr:from>
    <xdr:to>
      <xdr:col>61</xdr:col>
      <xdr:colOff>108117</xdr:colOff>
      <xdr:row>74</xdr:row>
      <xdr:rowOff>67236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0906A72B-4DCE-F780-74E6-2EFF0025CD81}"/>
            </a:ext>
            <a:ext uri="{147F2762-F138-4A5C-976F-8EAC2B608ADB}">
              <a16:predDERef xmlns:a16="http://schemas.microsoft.com/office/drawing/2014/main" pred="{C1F87B08-E829-CAD9-0F5B-CA67315C5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224078" y="10752044"/>
          <a:ext cx="6655715" cy="428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9</xdr:row>
      <xdr:rowOff>19050</xdr:rowOff>
    </xdr:from>
    <xdr:to>
      <xdr:col>17</xdr:col>
      <xdr:colOff>152400</xdr:colOff>
      <xdr:row>30</xdr:row>
      <xdr:rowOff>142875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9948C526-8209-161F-55F8-61CD67D16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0</xdr:row>
      <xdr:rowOff>0</xdr:rowOff>
    </xdr:from>
    <xdr:to>
      <xdr:col>12</xdr:col>
      <xdr:colOff>400050</xdr:colOff>
      <xdr:row>15</xdr:row>
      <xdr:rowOff>38100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C175CCFB-711A-0973-1A64-A5C1348EB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466725</xdr:colOff>
      <xdr:row>113</xdr:row>
      <xdr:rowOff>123825</xdr:rowOff>
    </xdr:from>
    <xdr:to>
      <xdr:col>13</xdr:col>
      <xdr:colOff>1190625</xdr:colOff>
      <xdr:row>133</xdr:row>
      <xdr:rowOff>104775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D348F749-ECD5-51FC-AE1D-E96F533A2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9075" y="21812250"/>
          <a:ext cx="6486525" cy="3790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500260</xdr:colOff>
      <xdr:row>0</xdr:row>
      <xdr:rowOff>13608</xdr:rowOff>
    </xdr:from>
    <xdr:to>
      <xdr:col>23</xdr:col>
      <xdr:colOff>828674</xdr:colOff>
      <xdr:row>39</xdr:row>
      <xdr:rowOff>142875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F9EFA4EF-5B6C-44A9-8485-2D029EC3FB8F}"/>
            </a:ext>
            <a:ext uri="{147F2762-F138-4A5C-976F-8EAC2B608ADB}">
              <a16:predDERef xmlns:a16="http://schemas.microsoft.com/office/drawing/2014/main" pred="{99A1F7B4-D676-49AC-F0E0-4E9A14595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42021</xdr:colOff>
      <xdr:row>42</xdr:row>
      <xdr:rowOff>71156</xdr:rowOff>
    </xdr:from>
    <xdr:to>
      <xdr:col>17</xdr:col>
      <xdr:colOff>336177</xdr:colOff>
      <xdr:row>69</xdr:row>
      <xdr:rowOff>190499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7E78075-A9E6-46D7-9282-FB8348CD47B3}"/>
            </a:ext>
            <a:ext uri="{147F2762-F138-4A5C-976F-8EAC2B608ADB}">
              <a16:predDERef xmlns:a16="http://schemas.microsoft.com/office/drawing/2014/main" pred="{F9EFA4EF-5B6C-44A9-8485-2D029EC3F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333374</xdr:colOff>
      <xdr:row>70</xdr:row>
      <xdr:rowOff>123825</xdr:rowOff>
    </xdr:from>
    <xdr:to>
      <xdr:col>22</xdr:col>
      <xdr:colOff>381000</xdr:colOff>
      <xdr:row>106</xdr:row>
      <xdr:rowOff>123824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6E575540-3258-CF8C-BE7E-6B72DEF09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0.65496</cdr:x>
      <cdr:y>0.43497</cdr:y>
    </cdr:from>
    <cdr:to>
      <cdr:x>0.66559</cdr:x>
      <cdr:y>0.45389</cdr:y>
    </cdr:to>
    <cdr:sp macro="" textlink="">
      <cdr:nvSpPr>
        <cdr:cNvPr id="2" name="Ellipszis 1">
          <a:extLst xmlns:a="http://schemas.openxmlformats.org/drawingml/2006/main">
            <a:ext uri="{FF2B5EF4-FFF2-40B4-BE49-F238E27FC236}">
              <a16:creationId xmlns:a16="http://schemas.microsoft.com/office/drawing/2014/main" id="{7308FE2B-243A-8565-B6BC-DFA71B76EF21}"/>
            </a:ext>
          </a:extLst>
        </cdr:cNvPr>
        <cdr:cNvSpPr/>
      </cdr:nvSpPr>
      <cdr:spPr>
        <a:xfrm xmlns:a="http://schemas.openxmlformats.org/drawingml/2006/main">
          <a:off x="8217303" y="3065898"/>
          <a:ext cx="133350" cy="133349"/>
        </a:xfrm>
        <a:prstGeom xmlns:a="http://schemas.openxmlformats.org/drawingml/2006/main" prst="ellipse">
          <a:avLst/>
        </a:prstGeom>
      </cdr:spPr>
      <cdr:style>
        <a:lnRef xmlns:a="http://schemas.openxmlformats.org/drawingml/2006/main" idx="2">
          <a:schemeClr val="dk1">
            <a:shade val="15000"/>
          </a:schemeClr>
        </a:lnRef>
        <a:fillRef xmlns:a="http://schemas.openxmlformats.org/drawingml/2006/main" idx="1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  <cdr:relSizeAnchor xmlns:cdr="http://schemas.openxmlformats.org/drawingml/2006/chartDrawing">
    <cdr:from>
      <cdr:x>0.51244</cdr:x>
      <cdr:y>0.28591</cdr:y>
    </cdr:from>
    <cdr:to>
      <cdr:x>0.65554</cdr:x>
      <cdr:y>0.43591</cdr:y>
    </cdr:to>
    <cdr:cxnSp macro="">
      <cdr:nvCxnSpPr>
        <cdr:cNvPr id="4" name="Egyenes összekötő nyíllal 3">
          <a:extLst xmlns:a="http://schemas.openxmlformats.org/drawingml/2006/main">
            <a:ext uri="{FF2B5EF4-FFF2-40B4-BE49-F238E27FC236}">
              <a16:creationId xmlns:a16="http://schemas.microsoft.com/office/drawing/2014/main" id="{3CA17A6B-8587-13E3-6F26-1694FA365461}"/>
            </a:ext>
          </a:extLst>
        </cdr:cNvPr>
        <cdr:cNvCxnSpPr>
          <a:stCxn xmlns:a="http://schemas.openxmlformats.org/drawingml/2006/main" id="5" idx="2"/>
        </cdr:cNvCxnSpPr>
      </cdr:nvCxnSpPr>
      <cdr:spPr>
        <a:xfrm xmlns:a="http://schemas.openxmlformats.org/drawingml/2006/main">
          <a:off x="6429177" y="2015217"/>
          <a:ext cx="1795462" cy="1057275"/>
        </a:xfrm>
        <a:prstGeom xmlns:a="http://schemas.openxmlformats.org/drawingml/2006/main" prst="straightConnector1">
          <a:avLst/>
        </a:prstGeom>
        <a:ln xmlns:a="http://schemas.openxmlformats.org/drawingml/2006/main" w="25400">
          <a:tailEnd type="triangle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0.44677</cdr:x>
      <cdr:y>0.18456</cdr:y>
    </cdr:from>
    <cdr:to>
      <cdr:x>0.57811</cdr:x>
      <cdr:y>0.28591</cdr:y>
    </cdr:to>
    <cdr:sp macro="" textlink="">
      <cdr:nvSpPr>
        <cdr:cNvPr id="5" name="Szövegdoboz 4">
          <a:extLst xmlns:a="http://schemas.openxmlformats.org/drawingml/2006/main">
            <a:ext uri="{FF2B5EF4-FFF2-40B4-BE49-F238E27FC236}">
              <a16:creationId xmlns:a16="http://schemas.microsoft.com/office/drawing/2014/main" id="{E89D65D2-AEFA-BFD9-BD94-CC27DF9C6268}"/>
            </a:ext>
          </a:extLst>
        </cdr:cNvPr>
        <cdr:cNvSpPr txBox="1"/>
      </cdr:nvSpPr>
      <cdr:spPr>
        <a:xfrm xmlns:a="http://schemas.openxmlformats.org/drawingml/2006/main">
          <a:off x="5605264" y="1300843"/>
          <a:ext cx="1647825" cy="714374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50000"/>
            <a:lumOff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1800" kern="1200"/>
            <a:t>Fedezeti pont (330m2)</a:t>
          </a:r>
        </a:p>
      </cdr:txBody>
    </cdr:sp>
  </cdr:relSizeAnchor>
  <cdr:relSizeAnchor xmlns:cdr="http://schemas.openxmlformats.org/drawingml/2006/chartDrawing">
    <cdr:from>
      <cdr:x>0.23419</cdr:x>
      <cdr:y>0.52375</cdr:y>
    </cdr:from>
    <cdr:to>
      <cdr:x>0.25355</cdr:x>
      <cdr:y>0.75618</cdr:y>
    </cdr:to>
    <cdr:cxnSp macro="">
      <cdr:nvCxnSpPr>
        <cdr:cNvPr id="8" name="Egyenes összekötő nyíllal 7">
          <a:extLst xmlns:a="http://schemas.openxmlformats.org/drawingml/2006/main">
            <a:ext uri="{FF2B5EF4-FFF2-40B4-BE49-F238E27FC236}">
              <a16:creationId xmlns:a16="http://schemas.microsoft.com/office/drawing/2014/main" id="{AFF6155B-FAB9-F7E2-8F7A-B9DD0AA875F1}"/>
            </a:ext>
          </a:extLst>
        </cdr:cNvPr>
        <cdr:cNvCxnSpPr>
          <a:stCxn xmlns:a="http://schemas.openxmlformats.org/drawingml/2006/main" id="10" idx="2"/>
        </cdr:cNvCxnSpPr>
      </cdr:nvCxnSpPr>
      <cdr:spPr>
        <a:xfrm xmlns:a="http://schemas.openxmlformats.org/drawingml/2006/main" flipH="1">
          <a:off x="2938264" y="3691617"/>
          <a:ext cx="242888" cy="1638300"/>
        </a:xfrm>
        <a:prstGeom xmlns:a="http://schemas.openxmlformats.org/drawingml/2006/main" prst="straightConnector1">
          <a:avLst/>
        </a:prstGeom>
        <a:ln xmlns:a="http://schemas.openxmlformats.org/drawingml/2006/main" w="25400">
          <a:tailEnd type="triangle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0.20535</cdr:x>
      <cdr:y>0.46834</cdr:y>
    </cdr:from>
    <cdr:to>
      <cdr:x>0.30176</cdr:x>
      <cdr:y>0.52375</cdr:y>
    </cdr:to>
    <cdr:sp macro="" textlink="">
      <cdr:nvSpPr>
        <cdr:cNvPr id="10" name="Szövegdoboz 9">
          <a:extLst xmlns:a="http://schemas.openxmlformats.org/drawingml/2006/main">
            <a:ext uri="{FF2B5EF4-FFF2-40B4-BE49-F238E27FC236}">
              <a16:creationId xmlns:a16="http://schemas.microsoft.com/office/drawing/2014/main" id="{71F57A02-A3B5-7AA8-6982-34BC83131B83}"/>
            </a:ext>
          </a:extLst>
        </cdr:cNvPr>
        <cdr:cNvSpPr txBox="1"/>
      </cdr:nvSpPr>
      <cdr:spPr>
        <a:xfrm xmlns:a="http://schemas.openxmlformats.org/drawingml/2006/main">
          <a:off x="2576314" y="3301092"/>
          <a:ext cx="120967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2000" kern="1200">
              <a:solidFill>
                <a:schemeClr val="tx1"/>
              </a:solidFill>
            </a:rPr>
            <a:t>Veszteség</a:t>
          </a:r>
          <a:endParaRPr lang="hu-HU" sz="1100" kern="12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0.79258</cdr:x>
      <cdr:y>0.16293</cdr:y>
    </cdr:from>
    <cdr:to>
      <cdr:x>0.89697</cdr:x>
      <cdr:y>0.27104</cdr:y>
    </cdr:to>
    <cdr:cxnSp macro="">
      <cdr:nvCxnSpPr>
        <cdr:cNvPr id="17" name="Egyenes összekötő nyíllal 16">
          <a:extLst xmlns:a="http://schemas.openxmlformats.org/drawingml/2006/main">
            <a:ext uri="{FF2B5EF4-FFF2-40B4-BE49-F238E27FC236}">
              <a16:creationId xmlns:a16="http://schemas.microsoft.com/office/drawing/2014/main" id="{7BEE2BF7-C7DF-D9D5-4A75-B97CC7825611}"/>
            </a:ext>
          </a:extLst>
        </cdr:cNvPr>
        <cdr:cNvCxnSpPr>
          <a:stCxn xmlns:a="http://schemas.openxmlformats.org/drawingml/2006/main" id="18" idx="2"/>
        </cdr:cNvCxnSpPr>
      </cdr:nvCxnSpPr>
      <cdr:spPr>
        <a:xfrm xmlns:a="http://schemas.openxmlformats.org/drawingml/2006/main">
          <a:off x="9943902" y="1148442"/>
          <a:ext cx="1309687" cy="762000"/>
        </a:xfrm>
        <a:prstGeom xmlns:a="http://schemas.openxmlformats.org/drawingml/2006/main" prst="straightConnector1">
          <a:avLst/>
        </a:prstGeom>
        <a:ln xmlns:a="http://schemas.openxmlformats.org/drawingml/2006/main" w="25400">
          <a:tailEnd type="triangle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0.74665</cdr:x>
      <cdr:y>0.10483</cdr:y>
    </cdr:from>
    <cdr:to>
      <cdr:x>0.83851</cdr:x>
      <cdr:y>0.16293</cdr:y>
    </cdr:to>
    <cdr:sp macro="" textlink="">
      <cdr:nvSpPr>
        <cdr:cNvPr id="18" name="Szövegdoboz 17">
          <a:extLst xmlns:a="http://schemas.openxmlformats.org/drawingml/2006/main">
            <a:ext uri="{FF2B5EF4-FFF2-40B4-BE49-F238E27FC236}">
              <a16:creationId xmlns:a16="http://schemas.microsoft.com/office/drawing/2014/main" id="{E67311A7-3BED-A7E9-303B-E519ECD6D3CD}"/>
            </a:ext>
          </a:extLst>
        </cdr:cNvPr>
        <cdr:cNvSpPr txBox="1"/>
      </cdr:nvSpPr>
      <cdr:spPr>
        <a:xfrm xmlns:a="http://schemas.openxmlformats.org/drawingml/2006/main">
          <a:off x="9367639" y="738867"/>
          <a:ext cx="115252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2000" kern="1200">
              <a:solidFill>
                <a:schemeClr val="tx1"/>
              </a:solidFill>
            </a:rPr>
            <a:t>Nyereség</a:t>
          </a:r>
        </a:p>
      </cdr:txBody>
    </cdr:sp>
  </cdr:relSizeAnchor>
  <cdr:relSizeAnchor xmlns:cdr="http://schemas.openxmlformats.org/drawingml/2006/chartDrawing">
    <cdr:from>
      <cdr:x>0.08042</cdr:x>
      <cdr:y>0.6216</cdr:y>
    </cdr:from>
    <cdr:to>
      <cdr:x>0.72045</cdr:x>
      <cdr:y>0.69443</cdr:y>
    </cdr:to>
    <cdr:sp macro="" textlink="">
      <cdr:nvSpPr>
        <cdr:cNvPr id="20" name="Derékszögű háromszög 19">
          <a:extLst xmlns:a="http://schemas.openxmlformats.org/drawingml/2006/main">
            <a:ext uri="{FF2B5EF4-FFF2-40B4-BE49-F238E27FC236}">
              <a16:creationId xmlns:a16="http://schemas.microsoft.com/office/drawing/2014/main" id="{9C0AE7D0-7E16-9D45-625D-C464A99E63FB}"/>
            </a:ext>
          </a:extLst>
        </cdr:cNvPr>
        <cdr:cNvSpPr/>
      </cdr:nvSpPr>
      <cdr:spPr>
        <a:xfrm xmlns:a="http://schemas.openxmlformats.org/drawingml/2006/main" rot="20346463" flipV="1">
          <a:off x="1073589" y="4698510"/>
          <a:ext cx="8543761" cy="550508"/>
        </a:xfrm>
        <a:prstGeom xmlns:a="http://schemas.openxmlformats.org/drawingml/2006/main" prst="rtTriangle">
          <a:avLst/>
        </a:prstGeom>
        <a:solidFill xmlns:a="http://schemas.openxmlformats.org/drawingml/2006/main">
          <a:schemeClr val="accent1">
            <a:alpha val="2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  <cdr:relSizeAnchor xmlns:cdr="http://schemas.openxmlformats.org/drawingml/2006/chartDrawing">
    <cdr:from>
      <cdr:x>0.6823</cdr:x>
      <cdr:y>0.30447</cdr:y>
    </cdr:from>
    <cdr:to>
      <cdr:x>0.992</cdr:x>
      <cdr:y>0.34107</cdr:y>
    </cdr:to>
    <cdr:sp macro="" textlink="">
      <cdr:nvSpPr>
        <cdr:cNvPr id="22" name="Háromszög 21">
          <a:extLst xmlns:a="http://schemas.openxmlformats.org/drawingml/2006/main">
            <a:ext uri="{FF2B5EF4-FFF2-40B4-BE49-F238E27FC236}">
              <a16:creationId xmlns:a16="http://schemas.microsoft.com/office/drawing/2014/main" id="{95294675-8779-D6B2-1D9E-F33FA6145106}"/>
            </a:ext>
          </a:extLst>
        </cdr:cNvPr>
        <cdr:cNvSpPr/>
      </cdr:nvSpPr>
      <cdr:spPr>
        <a:xfrm xmlns:a="http://schemas.openxmlformats.org/drawingml/2006/main" rot="9316524">
          <a:off x="9108083" y="2301421"/>
          <a:ext cx="4134185" cy="276610"/>
        </a:xfrm>
        <a:prstGeom xmlns:a="http://schemas.openxmlformats.org/drawingml/2006/main" prst="triangle">
          <a:avLst>
            <a:gd name="adj" fmla="val 3135"/>
          </a:avLst>
        </a:prstGeom>
        <a:solidFill xmlns:a="http://schemas.openxmlformats.org/drawingml/2006/main">
          <a:schemeClr val="accent1">
            <a:alpha val="2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</c:userShape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27B9-4160-4727-AFE6-6A200975FEFB}">
  <sheetPr>
    <tabColor theme="9" tint="-0.249977111117893"/>
  </sheetPr>
  <dimension ref="A1:O59"/>
  <sheetViews>
    <sheetView topLeftCell="E1" zoomScale="70" zoomScaleNormal="70" workbookViewId="0">
      <selection activeCell="E22" sqref="E22"/>
    </sheetView>
  </sheetViews>
  <sheetFormatPr defaultRowHeight="15"/>
  <cols>
    <col min="1" max="1" width="36.28515625" customWidth="1"/>
    <col min="2" max="2" width="15.85546875" customWidth="1"/>
    <col min="3" max="3" width="14.28515625" customWidth="1"/>
    <col min="4" max="4" width="16" customWidth="1"/>
    <col min="5" max="5" width="19" customWidth="1"/>
    <col min="6" max="6" width="53.28515625" customWidth="1"/>
    <col min="7" max="7" width="15.42578125" customWidth="1"/>
    <col min="8" max="8" width="13.5703125" customWidth="1"/>
    <col min="9" max="9" width="16" customWidth="1"/>
    <col min="12" max="12" width="36.28515625" customWidth="1"/>
    <col min="13" max="15" width="10.5703125" bestFit="1" customWidth="1"/>
  </cols>
  <sheetData>
    <row r="1" spans="1:15" ht="15.75">
      <c r="A1" s="813" t="s">
        <v>0</v>
      </c>
      <c r="B1" s="798">
        <v>44926</v>
      </c>
      <c r="C1" s="652">
        <v>45291</v>
      </c>
      <c r="D1" s="653">
        <v>45657</v>
      </c>
      <c r="F1" s="629" t="s">
        <v>1</v>
      </c>
      <c r="G1" s="630">
        <v>2022</v>
      </c>
      <c r="H1" s="631">
        <v>2023</v>
      </c>
      <c r="I1" s="632">
        <v>2024</v>
      </c>
    </row>
    <row r="2" spans="1:15" ht="16.5" thickBot="1">
      <c r="A2" s="814" t="s">
        <v>2</v>
      </c>
      <c r="B2" s="799">
        <v>2022</v>
      </c>
      <c r="C2" s="6">
        <v>2023</v>
      </c>
      <c r="D2" s="655">
        <v>2024</v>
      </c>
      <c r="F2" s="633" t="s">
        <v>3</v>
      </c>
      <c r="G2" s="10"/>
      <c r="H2" s="11"/>
      <c r="I2" s="634"/>
    </row>
    <row r="3" spans="1:15" ht="15.75" thickBot="1">
      <c r="A3" s="815"/>
      <c r="B3" s="800"/>
      <c r="C3" s="9"/>
      <c r="D3" s="657"/>
      <c r="F3" s="635" t="s">
        <v>4</v>
      </c>
      <c r="G3" s="201">
        <f>619856000/1000</f>
        <v>619856</v>
      </c>
      <c r="H3" s="202">
        <f>520976000/1000</f>
        <v>520976</v>
      </c>
      <c r="I3" s="636">
        <f>1097184000/1000</f>
        <v>1097184</v>
      </c>
      <c r="M3" s="234">
        <v>2022</v>
      </c>
      <c r="N3" s="235">
        <v>2023</v>
      </c>
      <c r="O3" s="236">
        <v>2024</v>
      </c>
    </row>
    <row r="4" spans="1:15" ht="15.75" thickBot="1">
      <c r="A4" s="816" t="s">
        <v>5</v>
      </c>
      <c r="B4" s="801">
        <f>SUM(B5:B7)</f>
        <v>434216.6</v>
      </c>
      <c r="C4" s="210">
        <f>SUM(C5:C7)</f>
        <v>440177.99200000003</v>
      </c>
      <c r="D4" s="659">
        <f>SUM(D5:D7)</f>
        <v>685892.58400000003</v>
      </c>
      <c r="F4" s="637" t="s">
        <v>6</v>
      </c>
      <c r="G4" s="203">
        <v>0</v>
      </c>
      <c r="H4" s="203">
        <v>0</v>
      </c>
      <c r="I4" s="747">
        <v>0</v>
      </c>
      <c r="L4" s="181" t="s">
        <v>7</v>
      </c>
      <c r="M4" s="232">
        <f>G3/B14</f>
        <v>0.59571660982338093</v>
      </c>
      <c r="N4" s="232">
        <f>H3/C14</f>
        <v>0.51288473453111494</v>
      </c>
      <c r="O4" s="233">
        <f>I3/D14</f>
        <v>0.62790608812611681</v>
      </c>
    </row>
    <row r="5" spans="1:15">
      <c r="A5" s="817" t="s">
        <v>8</v>
      </c>
      <c r="B5" s="802">
        <v>15210</v>
      </c>
      <c r="C5" s="212">
        <v>18335</v>
      </c>
      <c r="D5" s="661">
        <v>20180</v>
      </c>
      <c r="F5" s="637" t="s">
        <v>9</v>
      </c>
      <c r="G5" s="203">
        <v>0</v>
      </c>
      <c r="H5" s="204">
        <v>0</v>
      </c>
      <c r="I5" s="638">
        <v>0</v>
      </c>
      <c r="L5" s="182" t="s">
        <v>10</v>
      </c>
      <c r="M5" s="223">
        <f>G7/B9</f>
        <v>1.5105211452568688</v>
      </c>
      <c r="N5" s="223">
        <f t="shared" ref="N5:O5" si="0">H7/C9</f>
        <v>1.6607212733309271</v>
      </c>
      <c r="O5" s="224">
        <f t="shared" si="0"/>
        <v>2.4710836874852857</v>
      </c>
    </row>
    <row r="6" spans="1:15" ht="15.75" thickBot="1">
      <c r="A6" s="818" t="s">
        <v>11</v>
      </c>
      <c r="B6" s="803">
        <f>404208600/1000</f>
        <v>404208.6</v>
      </c>
      <c r="C6" s="214">
        <f>409482992/1000</f>
        <v>409482.99200000003</v>
      </c>
      <c r="D6" s="663">
        <f>650842584/1000</f>
        <v>650842.58400000003</v>
      </c>
      <c r="F6" s="639" t="s">
        <v>12</v>
      </c>
      <c r="G6" s="12">
        <v>0</v>
      </c>
      <c r="H6" s="13">
        <v>0</v>
      </c>
      <c r="I6" s="781">
        <v>0</v>
      </c>
      <c r="L6" s="183" t="s">
        <v>13</v>
      </c>
      <c r="M6" s="225">
        <f>G3/B10</f>
        <v>2.1864409171075838</v>
      </c>
      <c r="N6" s="225">
        <f t="shared" ref="N6:O6" si="1">H3/C10</f>
        <v>1.6533671850206284</v>
      </c>
      <c r="O6" s="226">
        <f t="shared" si="1"/>
        <v>1.6</v>
      </c>
    </row>
    <row r="7" spans="1:15" ht="15.75" thickBot="1">
      <c r="A7" s="819" t="s">
        <v>14</v>
      </c>
      <c r="B7" s="804">
        <v>14798</v>
      </c>
      <c r="C7" s="216">
        <v>12360</v>
      </c>
      <c r="D7" s="665">
        <v>14870</v>
      </c>
      <c r="F7" s="637" t="s">
        <v>15</v>
      </c>
      <c r="G7" s="203">
        <f>(Összefoglaló!E63+Összefoglaló!E114+Összefoglaló!E123)/1000</f>
        <v>434138.88235827663</v>
      </c>
      <c r="H7" s="621">
        <f>(Összefoglaló!F63+Összefoglaló!F114+Összefoglaló!F123)/1000</f>
        <v>374675.32647619047</v>
      </c>
      <c r="I7" s="641">
        <f>(Összefoglaló!G63+Összefoglaló!G114+Összefoglaló!G123)/1000</f>
        <v>734727.31279999996</v>
      </c>
    </row>
    <row r="8" spans="1:15" ht="15.75" thickBot="1">
      <c r="A8" s="816" t="s">
        <v>16</v>
      </c>
      <c r="B8" s="801">
        <f>SUM(B9:B12)</f>
        <v>601754</v>
      </c>
      <c r="C8" s="210">
        <f>SUM(C9:C12)</f>
        <v>570608</v>
      </c>
      <c r="D8" s="659">
        <f t="shared" ref="D8" si="2">SUM(D9:D12)</f>
        <v>1055676</v>
      </c>
      <c r="F8" s="637" t="s">
        <v>17</v>
      </c>
      <c r="G8" s="203">
        <f>Összefoglaló!E97/1000</f>
        <v>104411.99999999999</v>
      </c>
      <c r="H8" s="621">
        <f>Összefoglaló!F97/1000</f>
        <v>113287.01999999999</v>
      </c>
      <c r="I8" s="641">
        <f>Összefoglaló!G97/1000</f>
        <v>123482.8518</v>
      </c>
    </row>
    <row r="9" spans="1:15">
      <c r="A9" s="817" t="s">
        <v>18</v>
      </c>
      <c r="B9" s="802">
        <v>287410</v>
      </c>
      <c r="C9" s="212">
        <v>225610</v>
      </c>
      <c r="D9" s="661">
        <v>297330</v>
      </c>
      <c r="F9" s="637" t="s">
        <v>19</v>
      </c>
      <c r="G9" s="203">
        <f>Összefoglaló!E146/1000-G15</f>
        <v>14243.552</v>
      </c>
      <c r="H9" s="621">
        <f>Összefoglaló!F146/1000-H15</f>
        <v>26412.40286108962</v>
      </c>
      <c r="I9" s="641">
        <f>Összefoglaló!G146/1000-I15</f>
        <v>56380.492162455506</v>
      </c>
      <c r="L9" s="740"/>
      <c r="M9" s="738">
        <v>2022</v>
      </c>
      <c r="N9" s="59">
        <v>2023</v>
      </c>
      <c r="O9" s="59">
        <v>2024</v>
      </c>
    </row>
    <row r="10" spans="1:15">
      <c r="A10" s="818" t="s">
        <v>20</v>
      </c>
      <c r="B10" s="803">
        <v>283500</v>
      </c>
      <c r="C10" s="214">
        <v>315100</v>
      </c>
      <c r="D10" s="663">
        <f>685740000/1000</f>
        <v>685740</v>
      </c>
      <c r="F10" s="637" t="s">
        <v>21</v>
      </c>
      <c r="G10" s="203">
        <v>0</v>
      </c>
      <c r="H10" s="621">
        <v>0</v>
      </c>
      <c r="I10" s="641">
        <v>0</v>
      </c>
      <c r="L10" s="739" t="s">
        <v>22</v>
      </c>
      <c r="M10" s="741">
        <f t="shared" ref="M10:O11" si="3">12/M5</f>
        <v>7.9442780643493496</v>
      </c>
      <c r="N10" s="741">
        <f t="shared" si="3"/>
        <v>7.2257760484584308</v>
      </c>
      <c r="O10" s="741">
        <f t="shared" si="3"/>
        <v>4.8561690001733115</v>
      </c>
    </row>
    <row r="11" spans="1:15">
      <c r="A11" s="818" t="s">
        <v>23</v>
      </c>
      <c r="B11" s="803">
        <v>10345</v>
      </c>
      <c r="C11" s="214">
        <v>14778</v>
      </c>
      <c r="D11" s="663">
        <v>19890</v>
      </c>
      <c r="F11" s="639" t="s">
        <v>24</v>
      </c>
      <c r="G11" s="12">
        <v>0</v>
      </c>
      <c r="H11" s="14">
        <v>0</v>
      </c>
      <c r="I11" s="640">
        <v>0</v>
      </c>
      <c r="L11" s="59" t="s">
        <v>25</v>
      </c>
      <c r="M11" s="741">
        <f t="shared" si="3"/>
        <v>5.4883714927337959</v>
      </c>
      <c r="N11" s="741">
        <f t="shared" si="3"/>
        <v>7.2579159116734742</v>
      </c>
      <c r="O11" s="741">
        <f t="shared" si="3"/>
        <v>7.5</v>
      </c>
    </row>
    <row r="12" spans="1:15" ht="15.75" thickBot="1">
      <c r="A12" s="819" t="s">
        <v>26</v>
      </c>
      <c r="B12" s="804">
        <v>20499</v>
      </c>
      <c r="C12" s="216">
        <v>15120</v>
      </c>
      <c r="D12" s="665">
        <v>52716</v>
      </c>
      <c r="F12" s="642" t="s">
        <v>27</v>
      </c>
      <c r="G12" s="205">
        <f>G3+G4+G5-G7-G8-G9-G10</f>
        <v>67061.565641723384</v>
      </c>
      <c r="H12" s="206">
        <f>H3+H4+H5-H7-H8-H9-H10</f>
        <v>6601.2506627199182</v>
      </c>
      <c r="I12" s="643">
        <f>I3+I4+I5-I7-I8-I9-I10</f>
        <v>182593.34323754453</v>
      </c>
      <c r="L12" s="59"/>
      <c r="M12" s="59"/>
      <c r="N12" s="59"/>
      <c r="O12" s="59"/>
    </row>
    <row r="13" spans="1:15" ht="15.75" thickBot="1">
      <c r="A13" s="816" t="s">
        <v>28</v>
      </c>
      <c r="B13" s="805">
        <v>4551</v>
      </c>
      <c r="C13" s="218">
        <v>4990</v>
      </c>
      <c r="D13" s="666">
        <v>5801</v>
      </c>
      <c r="F13" s="637" t="s">
        <v>29</v>
      </c>
      <c r="G13" s="203">
        <v>0</v>
      </c>
      <c r="H13" s="207">
        <v>0</v>
      </c>
      <c r="I13" s="638">
        <v>0</v>
      </c>
    </row>
    <row r="14" spans="1:15" ht="16.5" thickBot="1">
      <c r="A14" s="820" t="s">
        <v>30</v>
      </c>
      <c r="B14" s="806">
        <f>SUM(B4,B8,B13)</f>
        <v>1040521.6</v>
      </c>
      <c r="C14" s="220">
        <f t="shared" ref="C14:D14" si="4">SUM(C4,C8,C13)</f>
        <v>1015775.9920000001</v>
      </c>
      <c r="D14" s="668">
        <f t="shared" si="4"/>
        <v>1747369.584</v>
      </c>
      <c r="F14" s="639" t="s">
        <v>31</v>
      </c>
      <c r="G14" s="12">
        <v>0</v>
      </c>
      <c r="H14" s="13">
        <v>0</v>
      </c>
      <c r="I14" s="640">
        <v>0</v>
      </c>
      <c r="L14" s="625"/>
      <c r="M14" s="625"/>
    </row>
    <row r="15" spans="1:15">
      <c r="A15" s="816" t="s">
        <v>32</v>
      </c>
      <c r="B15" s="801">
        <f>SUM(B16,B18:B22)</f>
        <v>263611.83823238604</v>
      </c>
      <c r="C15" s="210">
        <f>SUM(C16,C18:C22)</f>
        <v>237736.82182666662</v>
      </c>
      <c r="D15" s="659">
        <f t="shared" ref="D15" si="5">SUM(D16,D18:D22)</f>
        <v>671082.84765400004</v>
      </c>
      <c r="F15" s="637" t="s">
        <v>33</v>
      </c>
      <c r="G15" s="203">
        <f>Támogatás!M7/1000</f>
        <v>7000.0000000000009</v>
      </c>
      <c r="H15" s="621">
        <f>Támogatás!M8/1000</f>
        <v>5782.765138910383</v>
      </c>
      <c r="I15" s="641">
        <f>Támogatás!M9/1000</f>
        <v>4480.3238375444917</v>
      </c>
    </row>
    <row r="16" spans="1:15">
      <c r="A16" s="817" t="s">
        <v>34</v>
      </c>
      <c r="B16" s="802">
        <v>100000</v>
      </c>
      <c r="C16" s="212">
        <v>100000</v>
      </c>
      <c r="D16" s="661">
        <v>175000</v>
      </c>
      <c r="F16" s="642" t="s">
        <v>35</v>
      </c>
      <c r="G16" s="205">
        <f>G13-G15</f>
        <v>-7000.0000000000009</v>
      </c>
      <c r="H16" s="205">
        <f>H13-H15</f>
        <v>-5782.765138910383</v>
      </c>
      <c r="I16" s="644">
        <f>I13-I15</f>
        <v>-4480.3238375444917</v>
      </c>
    </row>
    <row r="17" spans="1:15">
      <c r="A17" s="818" t="s">
        <v>36</v>
      </c>
      <c r="B17" s="807">
        <v>10000</v>
      </c>
      <c r="C17" s="222">
        <v>10000</v>
      </c>
      <c r="D17" s="669">
        <v>0</v>
      </c>
      <c r="F17" s="642" t="s">
        <v>37</v>
      </c>
      <c r="G17" s="205">
        <f>G12+G16</f>
        <v>60061.565641723384</v>
      </c>
      <c r="H17" s="205">
        <f>H12+H16</f>
        <v>818.48552380953515</v>
      </c>
      <c r="I17" s="645">
        <f>I12+I16</f>
        <v>178113.01940000005</v>
      </c>
    </row>
    <row r="18" spans="1:15">
      <c r="A18" s="818" t="s">
        <v>38</v>
      </c>
      <c r="B18" s="803">
        <v>30000</v>
      </c>
      <c r="C18" s="214">
        <v>32000</v>
      </c>
      <c r="D18" s="663">
        <v>35000</v>
      </c>
      <c r="F18" s="646" t="s">
        <v>39</v>
      </c>
      <c r="G18" s="624">
        <f>G17*0.09</f>
        <v>5405.5409077551039</v>
      </c>
      <c r="H18" s="624">
        <f>H17*0.09</f>
        <v>73.663697142858155</v>
      </c>
      <c r="I18" s="647">
        <f t="shared" ref="I18" si="6">I17*0.09</f>
        <v>16030.171746000004</v>
      </c>
      <c r="M18" s="231">
        <v>2022</v>
      </c>
      <c r="N18" s="229">
        <v>2023</v>
      </c>
      <c r="O18" s="230">
        <v>2024</v>
      </c>
    </row>
    <row r="19" spans="1:15">
      <c r="A19" s="818" t="s">
        <v>40</v>
      </c>
      <c r="B19" s="803">
        <v>5000</v>
      </c>
      <c r="C19" s="214">
        <v>4315</v>
      </c>
      <c r="D19" s="663">
        <v>46000</v>
      </c>
      <c r="F19" s="622" t="s">
        <v>41</v>
      </c>
      <c r="G19" s="623">
        <f>$G$17-$G$18</f>
        <v>54656.024733968283</v>
      </c>
      <c r="H19" s="623">
        <f>$H$17-$H$18</f>
        <v>744.821826666677</v>
      </c>
      <c r="I19" s="678">
        <f>$I$17-$I$18</f>
        <v>162082.84765400004</v>
      </c>
      <c r="L19" s="180" t="s">
        <v>42</v>
      </c>
      <c r="M19" s="227">
        <f>G12</f>
        <v>67061.565641723384</v>
      </c>
      <c r="N19" s="227">
        <f>H12</f>
        <v>6601.2506627199182</v>
      </c>
      <c r="O19" s="228">
        <f>I12</f>
        <v>182593.34323754453</v>
      </c>
    </row>
    <row r="20" spans="1:15">
      <c r="A20" s="818" t="s">
        <v>43</v>
      </c>
      <c r="B20" s="804">
        <v>10000</v>
      </c>
      <c r="C20" s="216">
        <v>15000</v>
      </c>
      <c r="D20" s="665">
        <v>28000</v>
      </c>
      <c r="L20" s="175" t="s">
        <v>44</v>
      </c>
      <c r="M20" s="199">
        <f>M19+G9</f>
        <v>81305.11764172338</v>
      </c>
      <c r="N20" s="199">
        <f>N19+H9</f>
        <v>33013.653523809538</v>
      </c>
      <c r="O20" s="200">
        <f>O19+I9</f>
        <v>238973.83540000004</v>
      </c>
    </row>
    <row r="21" spans="1:15">
      <c r="A21" s="818" t="s">
        <v>45</v>
      </c>
      <c r="B21" s="808">
        <v>63956</v>
      </c>
      <c r="C21" s="649">
        <v>85677</v>
      </c>
      <c r="D21" s="670">
        <v>225000</v>
      </c>
      <c r="L21" s="622" t="s">
        <v>41</v>
      </c>
      <c r="M21" s="677">
        <f>$G$17-$G$18</f>
        <v>54656.024733968283</v>
      </c>
      <c r="N21" s="677">
        <f>$H$17-$H$18</f>
        <v>744.821826666677</v>
      </c>
      <c r="O21" s="678">
        <f>$I$17-$I$18</f>
        <v>162082.84765400004</v>
      </c>
    </row>
    <row r="22" spans="1:15">
      <c r="A22" s="819" t="s">
        <v>46</v>
      </c>
      <c r="B22" s="809">
        <v>54655.838232386042</v>
      </c>
      <c r="C22" s="650">
        <v>744.82182666662243</v>
      </c>
      <c r="D22" s="671">
        <v>162082.84765400004</v>
      </c>
      <c r="E22" t="s">
        <v>47</v>
      </c>
      <c r="F22" s="21" t="s">
        <v>48</v>
      </c>
      <c r="G22" s="22">
        <v>2022</v>
      </c>
      <c r="H22" s="23">
        <v>2023</v>
      </c>
      <c r="I22" s="24">
        <v>2024</v>
      </c>
    </row>
    <row r="23" spans="1:15">
      <c r="A23" s="816" t="s">
        <v>49</v>
      </c>
      <c r="B23" s="801">
        <v>15200</v>
      </c>
      <c r="C23" s="210">
        <v>20100</v>
      </c>
      <c r="D23" s="659">
        <v>25250</v>
      </c>
      <c r="F23" s="25" t="s">
        <v>50</v>
      </c>
      <c r="G23" s="26">
        <v>17</v>
      </c>
      <c r="H23" s="27">
        <v>18</v>
      </c>
      <c r="I23" s="28">
        <v>24</v>
      </c>
    </row>
    <row r="24" spans="1:15">
      <c r="A24" s="816" t="s">
        <v>51</v>
      </c>
      <c r="B24" s="801">
        <f>SUM(B25:B27)</f>
        <v>761710</v>
      </c>
      <c r="C24" s="210">
        <f t="shared" ref="C24:D24" si="7">SUM(C25:C27)</f>
        <v>757939</v>
      </c>
      <c r="D24" s="659">
        <f t="shared" si="7"/>
        <v>1051037</v>
      </c>
    </row>
    <row r="25" spans="1:15">
      <c r="A25" s="817" t="s">
        <v>52</v>
      </c>
      <c r="B25" s="810">
        <v>0</v>
      </c>
      <c r="C25" s="4">
        <v>0</v>
      </c>
      <c r="D25" s="672">
        <v>0</v>
      </c>
      <c r="F25" s="21" t="s">
        <v>53</v>
      </c>
      <c r="G25" s="22">
        <v>2022</v>
      </c>
      <c r="H25" s="23">
        <v>2023</v>
      </c>
      <c r="I25" s="24">
        <v>2024</v>
      </c>
    </row>
    <row r="26" spans="1:15">
      <c r="A26" s="818" t="s">
        <v>54</v>
      </c>
      <c r="B26" s="803">
        <v>348004</v>
      </c>
      <c r="C26" s="214">
        <v>465500</v>
      </c>
      <c r="D26" s="663">
        <v>630000</v>
      </c>
      <c r="F26" s="29" t="s">
        <v>55</v>
      </c>
      <c r="G26" s="208">
        <f>Összefoglaló!E95/1000</f>
        <v>151140.88235827663</v>
      </c>
      <c r="H26" s="208">
        <f>Összefoglaló!F95/1000</f>
        <v>162352.34647619049</v>
      </c>
      <c r="I26" s="208">
        <f>Összefoglaló!G95/1000</f>
        <v>172470.16459999999</v>
      </c>
    </row>
    <row r="27" spans="1:15">
      <c r="A27" s="819" t="s">
        <v>56</v>
      </c>
      <c r="B27" s="804">
        <v>413706</v>
      </c>
      <c r="C27" s="216">
        <v>292439</v>
      </c>
      <c r="D27" s="665">
        <v>421037</v>
      </c>
    </row>
    <row r="28" spans="1:15">
      <c r="A28" s="816" t="s">
        <v>57</v>
      </c>
      <c r="B28" s="811">
        <v>0</v>
      </c>
      <c r="C28" s="2">
        <v>0</v>
      </c>
      <c r="D28" s="673">
        <v>0</v>
      </c>
      <c r="F28" s="178" t="s">
        <v>58</v>
      </c>
      <c r="G28" s="95">
        <f>G19/G3</f>
        <v>8.8175358041171312E-2</v>
      </c>
      <c r="H28" s="95">
        <f>H19/H3</f>
        <v>1.4296662930090387E-3</v>
      </c>
      <c r="I28" s="179">
        <f>I19/I3</f>
        <v>0.14772622245129352</v>
      </c>
    </row>
    <row r="29" spans="1:15">
      <c r="A29" s="821" t="s">
        <v>59</v>
      </c>
      <c r="B29" s="812">
        <f>SUM(B28,B24,B23,B15)</f>
        <v>1040521.838232386</v>
      </c>
      <c r="C29" s="675">
        <f t="shared" ref="C29:D29" si="8">SUM(C28,C24,C23,C15)</f>
        <v>1015775.8218266666</v>
      </c>
      <c r="D29" s="676">
        <f t="shared" si="8"/>
        <v>1747369.8476539999</v>
      </c>
    </row>
    <row r="32" spans="1:15">
      <c r="A32" s="15" t="s">
        <v>60</v>
      </c>
      <c r="B32" s="16">
        <v>2022</v>
      </c>
      <c r="C32" s="17">
        <v>2023</v>
      </c>
      <c r="D32" s="18">
        <v>2024</v>
      </c>
    </row>
    <row r="33" spans="1:6">
      <c r="A33" s="30" t="s">
        <v>61</v>
      </c>
      <c r="B33" s="35">
        <f>G19/B15</f>
        <v>0.20733524374495832</v>
      </c>
      <c r="C33" s="19">
        <f>H19/C15</f>
        <v>3.1329678799598194E-3</v>
      </c>
      <c r="D33" s="20">
        <f>I19/D15</f>
        <v>0.24152434862642691</v>
      </c>
    </row>
    <row r="34" spans="1:6">
      <c r="A34" s="30" t="s">
        <v>62</v>
      </c>
      <c r="B34" s="36">
        <f>G19/B14</f>
        <v>5.2527525362249361E-2</v>
      </c>
      <c r="C34" s="31">
        <f>H19/C14</f>
        <v>7.3325401715802405E-4</v>
      </c>
      <c r="D34" s="32">
        <f>I19/D14</f>
        <v>9.2758194453040246E-2</v>
      </c>
    </row>
    <row r="35" spans="1:6">
      <c r="A35" s="30" t="s">
        <v>63</v>
      </c>
      <c r="B35" s="40">
        <f>B29/G26</f>
        <v>6.8844499383419535</v>
      </c>
      <c r="C35" s="39">
        <f>C29/H26</f>
        <v>6.2566131249333896</v>
      </c>
      <c r="D35" s="41">
        <f>D29/I26</f>
        <v>10.131432597090477</v>
      </c>
    </row>
    <row r="36" spans="1:6">
      <c r="A36" s="38" t="s">
        <v>64</v>
      </c>
      <c r="B36" s="37">
        <f>G3/G23</f>
        <v>36462.117647058825</v>
      </c>
      <c r="C36" s="33">
        <f t="shared" ref="C36:D36" si="9">H3/H23</f>
        <v>28943.111111111109</v>
      </c>
      <c r="D36" s="34">
        <f t="shared" si="9"/>
        <v>45716</v>
      </c>
    </row>
    <row r="38" spans="1:6" ht="15.75" thickBot="1"/>
    <row r="39" spans="1:6">
      <c r="A39" s="170" t="s">
        <v>65</v>
      </c>
      <c r="B39" s="171">
        <f>B8/B27</f>
        <v>1.4545450150590034</v>
      </c>
      <c r="C39" s="171">
        <f>C8/C27</f>
        <v>1.9512034988493328</v>
      </c>
      <c r="D39" s="172">
        <f t="shared" ref="D39" si="10">D8/D27</f>
        <v>2.5073235843880703</v>
      </c>
    </row>
    <row r="40" spans="1:6">
      <c r="A40" s="173" t="s">
        <v>66</v>
      </c>
      <c r="B40" s="169">
        <f>(B8-B9)/B27</f>
        <v>0.75982460974701838</v>
      </c>
      <c r="C40" s="169">
        <f t="shared" ref="C40:D40" si="11">(C8-C9)/C27</f>
        <v>1.179726370285769</v>
      </c>
      <c r="D40" s="174">
        <f t="shared" si="11"/>
        <v>1.8011386172711661</v>
      </c>
    </row>
    <row r="41" spans="1:6" ht="15.75" thickBot="1">
      <c r="A41" s="175" t="s">
        <v>67</v>
      </c>
      <c r="B41" s="176">
        <f>B15/B29</f>
        <v>0.25334580068036211</v>
      </c>
      <c r="C41" s="176">
        <f t="shared" ref="C41:D41" si="12">C15/C29</f>
        <v>0.23404457629159278</v>
      </c>
      <c r="D41" s="177">
        <f t="shared" si="12"/>
        <v>0.38405312335850861</v>
      </c>
    </row>
    <row r="43" spans="1:6">
      <c r="E43" s="710">
        <v>1188224000</v>
      </c>
      <c r="F43" s="711">
        <v>1230976000</v>
      </c>
    </row>
    <row r="44" spans="1:6">
      <c r="E44" s="712">
        <v>437065853.40453291</v>
      </c>
      <c r="F44" s="713">
        <v>634401361.43582797</v>
      </c>
    </row>
    <row r="45" spans="1:6">
      <c r="A45" s="679"/>
      <c r="B45" s="680">
        <v>2022</v>
      </c>
      <c r="C45" s="680">
        <v>2023</v>
      </c>
      <c r="D45" s="706">
        <v>2024</v>
      </c>
      <c r="E45" s="712">
        <v>2025</v>
      </c>
      <c r="F45" s="713">
        <v>2026</v>
      </c>
    </row>
    <row r="46" spans="1:6">
      <c r="A46" s="681" t="s">
        <v>42</v>
      </c>
      <c r="B46" s="682">
        <v>60061.565641723384</v>
      </c>
      <c r="C46" s="682">
        <v>818.48552380953697</v>
      </c>
      <c r="D46" s="707">
        <v>178113.01940000005</v>
      </c>
      <c r="E46" s="712"/>
      <c r="F46" s="713"/>
    </row>
    <row r="47" spans="1:6">
      <c r="A47" s="681" t="s">
        <v>44</v>
      </c>
      <c r="B47" s="682">
        <v>81305.11764172338</v>
      </c>
      <c r="C47" s="682">
        <v>33013.653523809538</v>
      </c>
      <c r="D47" s="707">
        <v>238973.83540000004</v>
      </c>
      <c r="E47" s="712">
        <f>258933598.839/1000</f>
        <v>258933.59883899998</v>
      </c>
      <c r="F47" s="713">
        <f>258196324.031295/1000</f>
        <v>258196.32403129499</v>
      </c>
    </row>
    <row r="48" spans="1:6">
      <c r="A48" s="681" t="s">
        <v>41</v>
      </c>
      <c r="B48" s="682">
        <v>54656.024733968283</v>
      </c>
      <c r="C48" s="682">
        <v>744.82182666667859</v>
      </c>
      <c r="D48" s="707">
        <v>162082.84765400004</v>
      </c>
      <c r="E48" s="712">
        <f>180246232.38349/1000</f>
        <v>180246.23238348999</v>
      </c>
      <c r="F48" s="713">
        <f>179575312.308478/1000</f>
        <v>179575.31230847799</v>
      </c>
    </row>
    <row r="49" spans="1:6">
      <c r="A49" s="681" t="s">
        <v>68</v>
      </c>
      <c r="B49" s="683">
        <f>B48/B47</f>
        <v>0.67223351148465016</v>
      </c>
      <c r="C49" s="683">
        <f t="shared" ref="C49:D49" si="13">C48/C47</f>
        <v>2.2561023914833025E-2</v>
      </c>
      <c r="D49" s="708">
        <f t="shared" si="13"/>
        <v>0.67824516178811767</v>
      </c>
      <c r="E49" s="712"/>
      <c r="F49" s="713"/>
    </row>
    <row r="50" spans="1:6">
      <c r="A50" s="681"/>
      <c r="B50" s="682"/>
      <c r="C50" s="682"/>
      <c r="D50" s="707"/>
      <c r="E50" s="712"/>
      <c r="F50" s="713"/>
    </row>
    <row r="51" spans="1:6">
      <c r="A51" s="681" t="s">
        <v>69</v>
      </c>
      <c r="B51" s="682">
        <v>0.67223351148465016</v>
      </c>
      <c r="C51" s="682">
        <v>2.2561023914833025E-2</v>
      </c>
      <c r="D51" s="707">
        <v>0.67824516178811767</v>
      </c>
      <c r="E51" s="712"/>
      <c r="F51" s="713"/>
    </row>
    <row r="52" spans="1:6">
      <c r="A52" s="684" t="s">
        <v>58</v>
      </c>
      <c r="B52" s="685">
        <v>8.8175358041171298E-2</v>
      </c>
      <c r="C52" s="685">
        <v>1.429666293009042E-3</v>
      </c>
      <c r="D52" s="709">
        <v>0.14772622245129352</v>
      </c>
      <c r="E52" s="714">
        <f>E44/E43</f>
        <v>0.36783119462705088</v>
      </c>
      <c r="F52" s="715">
        <f>F44/F43</f>
        <v>0.5153645249264226</v>
      </c>
    </row>
    <row r="55" spans="1:6">
      <c r="A55" s="705"/>
      <c r="B55" s="705">
        <v>2022</v>
      </c>
      <c r="C55" s="705">
        <v>2023</v>
      </c>
      <c r="D55" s="705">
        <v>2024</v>
      </c>
    </row>
    <row r="56" spans="1:6">
      <c r="A56" s="705" t="s">
        <v>70</v>
      </c>
      <c r="B56" s="705">
        <v>619856</v>
      </c>
      <c r="C56" s="705">
        <v>520976</v>
      </c>
      <c r="D56" s="705">
        <v>1097184</v>
      </c>
    </row>
    <row r="57" spans="1:6">
      <c r="A57" s="705" t="s">
        <v>71</v>
      </c>
      <c r="B57" s="705">
        <v>-559794.43435827701</v>
      </c>
      <c r="C57" s="705">
        <v>-520157.51447618997</v>
      </c>
      <c r="D57" s="705">
        <v>-919070.98060000001</v>
      </c>
    </row>
    <row r="58" spans="1:6">
      <c r="A58" s="822" t="s">
        <v>72</v>
      </c>
      <c r="B58" s="822">
        <f>SUM(B56:B57)*0.91</f>
        <v>54656.024733967926</v>
      </c>
      <c r="C58" s="822">
        <f t="shared" ref="C58:D58" si="14">SUM(C56:C57)*0.91</f>
        <v>744.82182666712561</v>
      </c>
      <c r="D58" s="822">
        <f t="shared" si="14"/>
        <v>162082.84765399998</v>
      </c>
    </row>
    <row r="59" spans="1:6">
      <c r="A59" s="823"/>
      <c r="B59" s="823"/>
      <c r="C59" s="823"/>
      <c r="D59" s="82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42B0-43AA-4892-AC6F-CC06D68118ED}">
  <sheetPr>
    <tabColor theme="9" tint="-0.499984740745262"/>
  </sheetPr>
  <dimension ref="A1:AA76"/>
  <sheetViews>
    <sheetView tabSelected="1" topLeftCell="C70" zoomScaleNormal="100" workbookViewId="0">
      <selection activeCell="D84" sqref="D84"/>
    </sheetView>
  </sheetViews>
  <sheetFormatPr defaultRowHeight="15"/>
  <cols>
    <col min="1" max="1" width="34.85546875" customWidth="1"/>
    <col min="2" max="5" width="12.5703125" bestFit="1" customWidth="1"/>
    <col min="19" max="19" width="30.28515625" bestFit="1" customWidth="1"/>
    <col min="20" max="21" width="10.42578125" bestFit="1" customWidth="1"/>
    <col min="22" max="22" width="11.42578125" bestFit="1" customWidth="1"/>
    <col min="23" max="24" width="13.85546875" bestFit="1" customWidth="1"/>
  </cols>
  <sheetData>
    <row r="1" spans="1:24">
      <c r="A1" s="258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743"/>
    </row>
    <row r="2" spans="1:24">
      <c r="A2" s="42"/>
      <c r="B2" s="742" t="s">
        <v>224</v>
      </c>
      <c r="C2" s="742"/>
      <c r="D2" s="742"/>
      <c r="E2" s="742" t="s">
        <v>198</v>
      </c>
      <c r="X2" s="43"/>
    </row>
    <row r="3" spans="1:24">
      <c r="A3" s="42"/>
      <c r="B3" s="742" t="s">
        <v>201</v>
      </c>
      <c r="C3" s="742" t="s">
        <v>356</v>
      </c>
      <c r="D3" s="742" t="s">
        <v>357</v>
      </c>
      <c r="E3" s="742"/>
      <c r="X3" s="43"/>
    </row>
    <row r="4" spans="1:24">
      <c r="A4" s="42"/>
      <c r="B4" s="742">
        <v>129572213.3280848</v>
      </c>
      <c r="C4" s="742">
        <v>1987640.7820000001</v>
      </c>
      <c r="D4" s="742">
        <v>2385168.9383999999</v>
      </c>
      <c r="E4" s="742"/>
      <c r="X4" s="43"/>
    </row>
    <row r="5" spans="1:24">
      <c r="A5" s="42"/>
      <c r="B5" s="742"/>
      <c r="C5" s="742"/>
      <c r="D5" s="742"/>
      <c r="E5" s="742"/>
      <c r="X5" s="43"/>
    </row>
    <row r="6" spans="1:24">
      <c r="A6" s="42"/>
      <c r="B6" s="742" t="s">
        <v>209</v>
      </c>
      <c r="C6" s="742" t="s">
        <v>210</v>
      </c>
      <c r="D6" s="742" t="s">
        <v>211</v>
      </c>
      <c r="E6" s="742" t="s">
        <v>212</v>
      </c>
      <c r="X6" s="43"/>
    </row>
    <row r="7" spans="1:24">
      <c r="A7" s="42"/>
      <c r="B7" s="742">
        <v>0</v>
      </c>
      <c r="C7" s="742">
        <v>129572213.3280848</v>
      </c>
      <c r="D7" s="742">
        <v>129572213.3280848</v>
      </c>
      <c r="E7" s="742">
        <v>0</v>
      </c>
      <c r="X7" s="43"/>
    </row>
    <row r="8" spans="1:24">
      <c r="A8" s="42"/>
      <c r="B8" s="742">
        <v>100</v>
      </c>
      <c r="C8" s="742">
        <v>129572213.3280848</v>
      </c>
      <c r="D8" s="742">
        <v>328336291.52808481</v>
      </c>
      <c r="E8" s="742">
        <v>238516893.83999997</v>
      </c>
      <c r="X8" s="43"/>
    </row>
    <row r="9" spans="1:24">
      <c r="A9" s="42"/>
      <c r="B9" s="742">
        <v>200</v>
      </c>
      <c r="C9" s="742">
        <v>129572213.3280848</v>
      </c>
      <c r="D9" s="742">
        <v>527100369.7280848</v>
      </c>
      <c r="E9" s="742">
        <v>477033787.67999995</v>
      </c>
      <c r="X9" s="43"/>
    </row>
    <row r="10" spans="1:24">
      <c r="A10" s="42"/>
      <c r="B10" s="742">
        <v>300</v>
      </c>
      <c r="C10" s="742">
        <v>129572213.3280848</v>
      </c>
      <c r="D10" s="742">
        <v>725864447.92808485</v>
      </c>
      <c r="E10" s="742">
        <v>715550681.51999998</v>
      </c>
      <c r="X10" s="43"/>
    </row>
    <row r="11" spans="1:24">
      <c r="A11" s="42"/>
      <c r="B11" s="742">
        <v>400</v>
      </c>
      <c r="C11" s="742">
        <v>129572213.3280848</v>
      </c>
      <c r="D11" s="742">
        <v>924628526.1280849</v>
      </c>
      <c r="E11" s="742">
        <v>954067575.3599999</v>
      </c>
      <c r="X11" s="43"/>
    </row>
    <row r="12" spans="1:24">
      <c r="A12" s="42"/>
      <c r="B12" s="742">
        <v>500</v>
      </c>
      <c r="C12" s="742">
        <v>129572213.3280848</v>
      </c>
      <c r="D12" s="742">
        <v>1123392604.3280849</v>
      </c>
      <c r="E12" s="742">
        <v>1192584469.2</v>
      </c>
      <c r="X12" s="43"/>
    </row>
    <row r="13" spans="1:24">
      <c r="A13" s="42"/>
      <c r="X13" s="43"/>
    </row>
    <row r="14" spans="1:24">
      <c r="A14" s="42"/>
      <c r="X14" s="43"/>
    </row>
    <row r="15" spans="1:24">
      <c r="A15" s="42"/>
      <c r="X15" s="43"/>
    </row>
    <row r="16" spans="1:24">
      <c r="A16" s="42"/>
      <c r="X16" s="43"/>
    </row>
    <row r="17" spans="1:24">
      <c r="A17" s="42"/>
      <c r="X17" s="43"/>
    </row>
    <row r="18" spans="1:24">
      <c r="A18" s="42"/>
      <c r="X18" s="43"/>
    </row>
    <row r="19" spans="1:24">
      <c r="A19" s="42"/>
      <c r="X19" s="43"/>
    </row>
    <row r="20" spans="1:24">
      <c r="A20" s="42"/>
      <c r="X20" s="43"/>
    </row>
    <row r="21" spans="1:24">
      <c r="A21" s="42"/>
      <c r="X21" s="43"/>
    </row>
    <row r="22" spans="1:24">
      <c r="A22" s="42"/>
      <c r="X22" s="43"/>
    </row>
    <row r="23" spans="1:24">
      <c r="A23" s="42"/>
      <c r="X23" s="43"/>
    </row>
    <row r="24" spans="1:24">
      <c r="A24" s="42"/>
      <c r="X24" s="43"/>
    </row>
    <row r="25" spans="1:24">
      <c r="A25" s="42"/>
      <c r="X25" s="43"/>
    </row>
    <row r="26" spans="1:24">
      <c r="A26" s="42"/>
      <c r="X26" s="43"/>
    </row>
    <row r="27" spans="1:24">
      <c r="A27" s="42"/>
      <c r="X27" s="43"/>
    </row>
    <row r="28" spans="1:24">
      <c r="A28" s="42"/>
      <c r="X28" s="43"/>
    </row>
    <row r="29" spans="1:24">
      <c r="A29" s="42"/>
      <c r="X29" s="43"/>
    </row>
    <row r="30" spans="1:24">
      <c r="A30" s="42"/>
      <c r="X30" s="43"/>
    </row>
    <row r="31" spans="1:24">
      <c r="A31" s="42"/>
      <c r="X31" s="43"/>
    </row>
    <row r="32" spans="1:24">
      <c r="A32" s="42"/>
      <c r="X32" s="43"/>
    </row>
    <row r="33" spans="1:24">
      <c r="A33" s="42"/>
      <c r="X33" s="43"/>
    </row>
    <row r="34" spans="1:24">
      <c r="A34" s="42"/>
      <c r="X34" s="43"/>
    </row>
    <row r="35" spans="1:24">
      <c r="A35" s="42"/>
      <c r="X35" s="43"/>
    </row>
    <row r="36" spans="1:24">
      <c r="A36" s="42"/>
      <c r="X36" s="43"/>
    </row>
    <row r="37" spans="1:24">
      <c r="A37" s="42"/>
      <c r="X37" s="43"/>
    </row>
    <row r="38" spans="1:24">
      <c r="A38" s="42"/>
      <c r="X38" s="43"/>
    </row>
    <row r="39" spans="1:24">
      <c r="A39" s="42"/>
      <c r="X39" s="43"/>
    </row>
    <row r="40" spans="1:24" ht="15.75" thickBot="1">
      <c r="A40" s="744"/>
      <c r="B40" s="745"/>
      <c r="C40" s="745"/>
      <c r="D40" s="745"/>
      <c r="E40" s="745"/>
      <c r="F40" s="745"/>
      <c r="G40" s="745"/>
      <c r="H40" s="745"/>
      <c r="I40" s="745"/>
      <c r="J40" s="745"/>
      <c r="K40" s="745"/>
      <c r="L40" s="745"/>
      <c r="M40" s="745"/>
      <c r="N40" s="745"/>
      <c r="O40" s="745"/>
      <c r="P40" s="745"/>
      <c r="Q40" s="745"/>
      <c r="R40" s="745"/>
      <c r="S40" s="745"/>
      <c r="T40" s="745"/>
      <c r="U40" s="745"/>
      <c r="V40" s="745"/>
      <c r="W40" s="745"/>
      <c r="X40" s="746"/>
    </row>
    <row r="42" spans="1:24" ht="15.75" thickBot="1"/>
    <row r="43" spans="1:24">
      <c r="A43" s="699"/>
      <c r="B43" s="700"/>
      <c r="C43" s="700"/>
      <c r="D43" s="700"/>
      <c r="E43" s="700"/>
      <c r="F43" s="700"/>
      <c r="G43" s="700"/>
      <c r="H43" s="700"/>
      <c r="I43" s="700"/>
      <c r="J43" s="700"/>
      <c r="K43" s="700"/>
      <c r="L43" s="700"/>
      <c r="M43" s="700"/>
      <c r="N43" s="700"/>
      <c r="O43" s="700"/>
      <c r="P43" s="700"/>
      <c r="Q43" s="700"/>
      <c r="R43" s="700"/>
      <c r="S43" s="700"/>
      <c r="T43" s="700"/>
      <c r="U43" s="700"/>
      <c r="V43" s="700"/>
      <c r="W43" s="700"/>
      <c r="X43" s="701"/>
    </row>
    <row r="44" spans="1:24">
      <c r="A44" s="702"/>
      <c r="X44" s="492"/>
    </row>
    <row r="45" spans="1:24">
      <c r="A45" s="702"/>
      <c r="X45" s="492"/>
    </row>
    <row r="46" spans="1:24" ht="15.75" thickBot="1">
      <c r="A46" s="702"/>
      <c r="X46" s="492"/>
    </row>
    <row r="47" spans="1:24">
      <c r="A47" s="702"/>
      <c r="S47" s="699"/>
      <c r="T47" s="700"/>
      <c r="U47" s="700"/>
      <c r="V47" s="700"/>
      <c r="W47" s="716">
        <v>1188224000</v>
      </c>
      <c r="X47" s="717">
        <v>1230976000</v>
      </c>
    </row>
    <row r="48" spans="1:24">
      <c r="A48" s="702"/>
      <c r="S48" s="702"/>
      <c r="W48" s="363">
        <v>437065853.40453291</v>
      </c>
      <c r="X48" s="718">
        <v>634401361.43582797</v>
      </c>
    </row>
    <row r="49" spans="1:27">
      <c r="A49" s="702"/>
      <c r="S49" s="702"/>
      <c r="T49">
        <v>2022</v>
      </c>
      <c r="U49">
        <v>2023</v>
      </c>
      <c r="V49">
        <v>2024</v>
      </c>
      <c r="W49">
        <v>2025</v>
      </c>
      <c r="X49" s="492">
        <v>2026</v>
      </c>
    </row>
    <row r="50" spans="1:27">
      <c r="A50" s="702"/>
      <c r="S50" s="702" t="s">
        <v>42</v>
      </c>
      <c r="T50" s="719">
        <v>60061.565641723384</v>
      </c>
      <c r="U50" s="719">
        <v>818.48552380953697</v>
      </c>
      <c r="V50" s="719">
        <v>178113.01940000005</v>
      </c>
      <c r="W50" s="719"/>
      <c r="X50" s="720"/>
      <c r="AA50" t="s">
        <v>534</v>
      </c>
    </row>
    <row r="51" spans="1:27">
      <c r="A51" s="702"/>
      <c r="S51" s="702" t="s">
        <v>44</v>
      </c>
      <c r="T51" s="719">
        <v>81305.11764172338</v>
      </c>
      <c r="U51" s="719">
        <v>33013.653523809538</v>
      </c>
      <c r="V51" s="719">
        <v>238973.83540000004</v>
      </c>
      <c r="W51" s="719">
        <v>258933.59883899998</v>
      </c>
      <c r="X51" s="720">
        <v>258196.32403129499</v>
      </c>
    </row>
    <row r="52" spans="1:27">
      <c r="A52" s="702"/>
      <c r="S52" s="702" t="s">
        <v>41</v>
      </c>
      <c r="T52" s="719">
        <v>54656.024733968283</v>
      </c>
      <c r="U52" s="719">
        <v>744.82182666667859</v>
      </c>
      <c r="V52" s="719">
        <v>162082.84765400004</v>
      </c>
      <c r="W52" s="719">
        <v>180246.23238348999</v>
      </c>
      <c r="X52" s="720">
        <v>179575.31230847799</v>
      </c>
    </row>
    <row r="53" spans="1:27">
      <c r="A53" s="702"/>
      <c r="S53" s="702" t="s">
        <v>68</v>
      </c>
      <c r="T53" s="719">
        <v>0.67223351148465016</v>
      </c>
      <c r="U53" s="719">
        <v>2.2561023914833025E-2</v>
      </c>
      <c r="V53" s="719">
        <v>0.67824516178811767</v>
      </c>
      <c r="W53" s="719"/>
      <c r="X53" s="720"/>
    </row>
    <row r="54" spans="1:27">
      <c r="A54" s="702"/>
      <c r="S54" s="702"/>
      <c r="T54" s="719"/>
      <c r="U54" s="719"/>
      <c r="V54" s="719"/>
      <c r="W54" s="719"/>
      <c r="X54" s="720"/>
    </row>
    <row r="55" spans="1:27">
      <c r="A55" s="702"/>
      <c r="S55" s="702" t="s">
        <v>69</v>
      </c>
      <c r="T55" s="719">
        <v>0.67223351148465016</v>
      </c>
      <c r="U55" s="719">
        <v>2.2561023914833025E-2</v>
      </c>
      <c r="V55" s="719">
        <v>0.67824516178811767</v>
      </c>
      <c r="W55" s="719"/>
      <c r="X55" s="720"/>
    </row>
    <row r="56" spans="1:27" ht="15.75" thickBot="1">
      <c r="A56" s="702"/>
      <c r="S56" s="703" t="s">
        <v>58</v>
      </c>
      <c r="T56" s="721">
        <v>8.8175358041171298E-2</v>
      </c>
      <c r="U56" s="721">
        <v>1.429666293009042E-3</v>
      </c>
      <c r="V56" s="721">
        <v>0.14772622245129352</v>
      </c>
      <c r="W56" s="721">
        <v>0.36783119462705088</v>
      </c>
      <c r="X56" s="722">
        <v>0.5153645249264226</v>
      </c>
    </row>
    <row r="57" spans="1:27">
      <c r="A57" s="702"/>
      <c r="X57" s="492"/>
    </row>
    <row r="58" spans="1:27">
      <c r="A58" s="702"/>
      <c r="X58" s="492"/>
    </row>
    <row r="59" spans="1:27">
      <c r="A59" s="702"/>
      <c r="X59" s="492"/>
    </row>
    <row r="60" spans="1:27">
      <c r="A60" s="702"/>
      <c r="X60" s="492"/>
    </row>
    <row r="61" spans="1:27">
      <c r="A61" s="702"/>
      <c r="X61" s="492"/>
    </row>
    <row r="62" spans="1:27">
      <c r="A62" s="702"/>
      <c r="X62" s="492"/>
    </row>
    <row r="63" spans="1:27">
      <c r="A63" s="702"/>
      <c r="X63" s="492"/>
    </row>
    <row r="64" spans="1:27">
      <c r="A64" s="702"/>
      <c r="X64" s="492"/>
    </row>
    <row r="65" spans="1:24">
      <c r="A65" s="702"/>
      <c r="X65" s="492"/>
    </row>
    <row r="66" spans="1:24">
      <c r="A66" s="702"/>
      <c r="X66" s="492"/>
    </row>
    <row r="67" spans="1:24">
      <c r="A67" s="702"/>
      <c r="X67" s="492"/>
    </row>
    <row r="68" spans="1:24">
      <c r="A68" s="702"/>
      <c r="X68" s="492"/>
    </row>
    <row r="69" spans="1:24">
      <c r="A69" s="702"/>
      <c r="X69" s="492"/>
    </row>
    <row r="70" spans="1:24" ht="15.75" thickBot="1">
      <c r="A70" s="703"/>
      <c r="B70" s="488"/>
      <c r="C70" s="488"/>
      <c r="D70" s="488"/>
      <c r="E70" s="488"/>
      <c r="F70" s="488"/>
      <c r="G70" s="488"/>
      <c r="H70" s="488"/>
      <c r="I70" s="488"/>
      <c r="J70" s="488"/>
      <c r="K70" s="488"/>
      <c r="L70" s="488"/>
      <c r="M70" s="488"/>
      <c r="N70" s="488"/>
      <c r="O70" s="488"/>
      <c r="P70" s="488"/>
      <c r="Q70" s="488"/>
      <c r="R70" s="488"/>
      <c r="S70" s="488"/>
      <c r="T70" s="488"/>
      <c r="U70" s="488"/>
      <c r="V70" s="488"/>
      <c r="W70" s="488"/>
      <c r="X70" s="493"/>
    </row>
    <row r="74" spans="1:24">
      <c r="A74" s="740"/>
      <c r="B74" s="825">
        <v>2022</v>
      </c>
      <c r="C74" s="704">
        <v>2023</v>
      </c>
      <c r="D74" s="704">
        <v>2024</v>
      </c>
    </row>
    <row r="75" spans="1:24">
      <c r="A75" s="45" t="s">
        <v>22</v>
      </c>
      <c r="B75" s="824">
        <v>7.9442780643493496</v>
      </c>
      <c r="C75" s="824">
        <v>7.2257760484584308</v>
      </c>
      <c r="D75" s="824">
        <v>4.8561690001733115</v>
      </c>
    </row>
    <row r="76" spans="1:24">
      <c r="A76" s="704" t="s">
        <v>25</v>
      </c>
      <c r="B76" s="824">
        <v>5.4883714927337959</v>
      </c>
      <c r="C76" s="824">
        <v>7.2579159116734742</v>
      </c>
      <c r="D76" s="824">
        <v>7.5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C386-73C7-4322-B0C1-6FDC4D859182}">
  <sheetPr>
    <tabColor theme="9" tint="-0.499984740745262"/>
  </sheetPr>
  <dimension ref="A1:S244"/>
  <sheetViews>
    <sheetView topLeftCell="A139" zoomScale="85" zoomScaleNormal="85" workbookViewId="0">
      <selection activeCell="E183" sqref="E183:I183"/>
    </sheetView>
  </sheetViews>
  <sheetFormatPr defaultRowHeight="15"/>
  <cols>
    <col min="1" max="1" width="26.140625" customWidth="1"/>
    <col min="2" max="2" width="19.140625" customWidth="1"/>
    <col min="3" max="3" width="17.5703125" customWidth="1"/>
    <col min="4" max="4" width="16.5703125" customWidth="1"/>
    <col min="5" max="5" width="17.140625" customWidth="1"/>
    <col min="6" max="6" width="15.7109375" customWidth="1"/>
    <col min="7" max="7" width="14.85546875" customWidth="1"/>
    <col min="8" max="8" width="18.85546875" customWidth="1"/>
    <col min="9" max="9" width="16.140625" customWidth="1"/>
    <col min="10" max="10" width="20.42578125" customWidth="1"/>
    <col min="11" max="11" width="13.28515625" customWidth="1"/>
    <col min="12" max="12" width="12.7109375" customWidth="1"/>
    <col min="16384" max="16384" width="9.140625" bestFit="1" customWidth="1"/>
  </cols>
  <sheetData>
    <row r="1" spans="1:19">
      <c r="A1" s="411" t="s">
        <v>73</v>
      </c>
      <c r="B1" s="411" t="s">
        <v>73</v>
      </c>
      <c r="C1" s="411" t="s">
        <v>73</v>
      </c>
      <c r="D1" s="412" t="s">
        <v>74</v>
      </c>
      <c r="E1" s="411">
        <v>2022</v>
      </c>
      <c r="F1" s="411">
        <v>2023</v>
      </c>
      <c r="G1" s="411">
        <v>2024</v>
      </c>
      <c r="H1" s="411">
        <v>2025</v>
      </c>
      <c r="I1" s="411">
        <v>2026</v>
      </c>
      <c r="J1" s="413" t="s">
        <v>75</v>
      </c>
      <c r="K1" s="413" t="s">
        <v>73</v>
      </c>
      <c r="L1" s="411" t="s">
        <v>76</v>
      </c>
    </row>
    <row r="2" spans="1:19">
      <c r="A2" s="414"/>
      <c r="B2" s="414"/>
      <c r="C2" s="414"/>
      <c r="D2" s="415"/>
      <c r="E2" s="416">
        <f>$I1-E1+1</f>
        <v>5</v>
      </c>
      <c r="F2" s="416">
        <v>4</v>
      </c>
      <c r="G2" s="416">
        <v>3</v>
      </c>
      <c r="H2" s="416">
        <v>2</v>
      </c>
      <c r="I2" s="416">
        <v>1</v>
      </c>
      <c r="J2" s="414"/>
      <c r="K2" s="414"/>
      <c r="L2" s="414"/>
    </row>
    <row r="3" spans="1:19">
      <c r="A3" s="417" t="s">
        <v>77</v>
      </c>
      <c r="B3" s="417" t="s">
        <v>73</v>
      </c>
      <c r="C3" s="417" t="s">
        <v>78</v>
      </c>
      <c r="D3" s="418">
        <f>J3/5</f>
        <v>931443200</v>
      </c>
      <c r="E3" s="419">
        <f>E5</f>
        <v>619856000</v>
      </c>
      <c r="F3" s="419">
        <f t="shared" ref="F3:I3" si="0">F5</f>
        <v>520976000</v>
      </c>
      <c r="G3" s="419">
        <f t="shared" si="0"/>
        <v>1097184000</v>
      </c>
      <c r="H3" s="419">
        <f t="shared" si="0"/>
        <v>1188224000</v>
      </c>
      <c r="I3" s="419">
        <f t="shared" si="0"/>
        <v>1230976000</v>
      </c>
      <c r="J3" s="420">
        <f>J5</f>
        <v>4657216000</v>
      </c>
      <c r="K3" s="417" t="s">
        <v>78</v>
      </c>
      <c r="L3" s="417" t="s">
        <v>73</v>
      </c>
    </row>
    <row r="4" spans="1:19">
      <c r="A4" s="414"/>
      <c r="B4" s="414"/>
      <c r="C4" s="414"/>
      <c r="D4" s="421"/>
      <c r="E4" s="422"/>
      <c r="F4" s="422"/>
      <c r="G4" s="422"/>
      <c r="H4" s="422"/>
      <c r="I4" s="422"/>
      <c r="J4" s="422"/>
      <c r="K4" s="422"/>
      <c r="L4" s="414"/>
    </row>
    <row r="5" spans="1:19">
      <c r="A5" s="444" t="s">
        <v>79</v>
      </c>
      <c r="B5" s="414" t="s">
        <v>80</v>
      </c>
      <c r="C5" s="424" t="s">
        <v>81</v>
      </c>
      <c r="D5" s="605">
        <f>J5/5</f>
        <v>931443200</v>
      </c>
      <c r="E5" s="425">
        <f>SUM(E6:E29)</f>
        <v>619856000</v>
      </c>
      <c r="F5" s="425">
        <f>SUM(F6:F29)</f>
        <v>520976000</v>
      </c>
      <c r="G5" s="425">
        <f>SUM(G6:G29)</f>
        <v>1097184000</v>
      </c>
      <c r="H5" s="425">
        <f>SUM(H6:H29)</f>
        <v>1188224000</v>
      </c>
      <c r="I5" s="425">
        <f>SUM(I6:I29)</f>
        <v>1230976000</v>
      </c>
      <c r="J5" s="425">
        <f>SUM(E5:I5)</f>
        <v>4657216000</v>
      </c>
      <c r="K5" s="424"/>
      <c r="L5" s="424" t="s">
        <v>73</v>
      </c>
    </row>
    <row r="6" spans="1:19">
      <c r="A6" s="513" t="s">
        <v>82</v>
      </c>
      <c r="B6" s="542">
        <f>B66*1.6</f>
        <v>160000</v>
      </c>
      <c r="C6" s="414" t="s">
        <v>83</v>
      </c>
      <c r="D6" s="427">
        <f>J6/5</f>
        <v>78240000</v>
      </c>
      <c r="E6" s="538">
        <f t="shared" ref="E6:I15" si="1">$B6*E36</f>
        <v>56000000</v>
      </c>
      <c r="F6" s="538">
        <f t="shared" si="1"/>
        <v>48000000</v>
      </c>
      <c r="G6" s="538">
        <f t="shared" si="1"/>
        <v>87200000</v>
      </c>
      <c r="H6" s="538">
        <f t="shared" si="1"/>
        <v>96000000</v>
      </c>
      <c r="I6" s="538">
        <f t="shared" si="1"/>
        <v>104000000</v>
      </c>
      <c r="J6" s="428">
        <f>SUM(E6:I6)</f>
        <v>391200000</v>
      </c>
      <c r="K6" s="414"/>
      <c r="L6" s="414"/>
      <c r="N6" t="s">
        <v>84</v>
      </c>
      <c r="P6" t="s">
        <v>85</v>
      </c>
      <c r="Q6" t="s">
        <v>86</v>
      </c>
      <c r="R6" s="501"/>
    </row>
    <row r="7" spans="1:19">
      <c r="A7" s="513" t="s">
        <v>87</v>
      </c>
      <c r="B7" s="542">
        <f>SUM(B8:B12)</f>
        <v>816000</v>
      </c>
      <c r="C7" s="414" t="s">
        <v>81</v>
      </c>
      <c r="D7" s="429">
        <f>J7/5</f>
        <v>17299200</v>
      </c>
      <c r="E7" s="538">
        <f t="shared" si="1"/>
        <v>8976000</v>
      </c>
      <c r="F7" s="538">
        <f t="shared" si="1"/>
        <v>8976000</v>
      </c>
      <c r="G7" s="538">
        <f t="shared" si="1"/>
        <v>19584000</v>
      </c>
      <c r="H7" s="538">
        <f t="shared" si="1"/>
        <v>19584000</v>
      </c>
      <c r="I7" s="538">
        <f t="shared" si="1"/>
        <v>29376000</v>
      </c>
      <c r="J7" s="428">
        <f t="shared" ref="J7:J21" si="2">SUM(E7:I7)</f>
        <v>86496000</v>
      </c>
      <c r="K7" s="414"/>
      <c r="L7" s="414"/>
      <c r="N7">
        <v>8</v>
      </c>
      <c r="O7" t="s">
        <v>88</v>
      </c>
      <c r="P7" t="s">
        <v>85</v>
      </c>
      <c r="Q7" t="s">
        <v>89</v>
      </c>
      <c r="R7" s="489"/>
    </row>
    <row r="8" spans="1:19">
      <c r="A8" s="512" t="s">
        <v>90</v>
      </c>
      <c r="B8" s="508">
        <f>B68*1.6</f>
        <v>480000</v>
      </c>
      <c r="C8" s="414" t="s">
        <v>81</v>
      </c>
      <c r="D8" s="429">
        <f t="shared" ref="D8:D21" si="3">J8/5</f>
        <v>0</v>
      </c>
      <c r="E8" s="545">
        <f t="shared" si="1"/>
        <v>0</v>
      </c>
      <c r="F8" s="545">
        <f t="shared" si="1"/>
        <v>0</v>
      </c>
      <c r="G8" s="545">
        <f t="shared" si="1"/>
        <v>0</v>
      </c>
      <c r="H8" s="545">
        <f t="shared" si="1"/>
        <v>0</v>
      </c>
      <c r="I8" s="545">
        <f t="shared" si="1"/>
        <v>0</v>
      </c>
      <c r="J8" s="428">
        <f t="shared" si="2"/>
        <v>0</v>
      </c>
      <c r="K8" s="414"/>
      <c r="L8" s="414"/>
      <c r="N8">
        <v>8</v>
      </c>
      <c r="O8" t="s">
        <v>88</v>
      </c>
      <c r="P8" t="s">
        <v>85</v>
      </c>
      <c r="Q8" t="s">
        <v>91</v>
      </c>
      <c r="R8" s="489" t="s">
        <v>92</v>
      </c>
      <c r="S8" t="s">
        <v>93</v>
      </c>
    </row>
    <row r="9" spans="1:19">
      <c r="A9" s="512" t="s">
        <v>94</v>
      </c>
      <c r="B9" s="508">
        <f>B69*1.6</f>
        <v>160000</v>
      </c>
      <c r="C9" s="414" t="s">
        <v>81</v>
      </c>
      <c r="D9" s="429">
        <f t="shared" si="3"/>
        <v>0</v>
      </c>
      <c r="E9" s="545">
        <f t="shared" si="1"/>
        <v>0</v>
      </c>
      <c r="F9" s="545">
        <f t="shared" si="1"/>
        <v>0</v>
      </c>
      <c r="G9" s="545">
        <f t="shared" si="1"/>
        <v>0</v>
      </c>
      <c r="H9" s="545">
        <f t="shared" si="1"/>
        <v>0</v>
      </c>
      <c r="I9" s="545">
        <f t="shared" si="1"/>
        <v>0</v>
      </c>
      <c r="J9" s="428">
        <f t="shared" si="2"/>
        <v>0</v>
      </c>
      <c r="K9" s="414"/>
      <c r="L9" s="414"/>
      <c r="N9">
        <v>8</v>
      </c>
      <c r="O9" t="s">
        <v>88</v>
      </c>
      <c r="P9" t="s">
        <v>85</v>
      </c>
      <c r="Q9" t="s">
        <v>95</v>
      </c>
      <c r="R9" s="490"/>
    </row>
    <row r="10" spans="1:19">
      <c r="A10" s="512" t="s">
        <v>96</v>
      </c>
      <c r="B10" s="508">
        <f>B70*1.6</f>
        <v>12800</v>
      </c>
      <c r="C10" s="414" t="s">
        <v>81</v>
      </c>
      <c r="D10" s="429">
        <f t="shared" si="3"/>
        <v>0</v>
      </c>
      <c r="E10" s="545">
        <f t="shared" si="1"/>
        <v>0</v>
      </c>
      <c r="F10" s="545">
        <f t="shared" si="1"/>
        <v>0</v>
      </c>
      <c r="G10" s="545">
        <f t="shared" si="1"/>
        <v>0</v>
      </c>
      <c r="H10" s="545">
        <f t="shared" si="1"/>
        <v>0</v>
      </c>
      <c r="I10" s="545">
        <f t="shared" si="1"/>
        <v>0</v>
      </c>
      <c r="J10" s="428">
        <f t="shared" si="2"/>
        <v>0</v>
      </c>
      <c r="K10" s="414"/>
      <c r="L10" s="414"/>
    </row>
    <row r="11" spans="1:19">
      <c r="A11" s="512" t="s">
        <v>97</v>
      </c>
      <c r="B11" s="508">
        <f>B71*1.6</f>
        <v>19200</v>
      </c>
      <c r="C11" s="414" t="s">
        <v>81</v>
      </c>
      <c r="D11" s="429">
        <f t="shared" si="3"/>
        <v>0</v>
      </c>
      <c r="E11" s="545">
        <f t="shared" si="1"/>
        <v>0</v>
      </c>
      <c r="F11" s="545">
        <f t="shared" si="1"/>
        <v>0</v>
      </c>
      <c r="G11" s="545">
        <f t="shared" si="1"/>
        <v>0</v>
      </c>
      <c r="H11" s="545">
        <f t="shared" si="1"/>
        <v>0</v>
      </c>
      <c r="I11" s="545">
        <f t="shared" si="1"/>
        <v>0</v>
      </c>
      <c r="J11" s="428">
        <f t="shared" si="2"/>
        <v>0</v>
      </c>
      <c r="K11" s="414"/>
      <c r="L11" s="414"/>
    </row>
    <row r="12" spans="1:19">
      <c r="A12" s="512" t="s">
        <v>98</v>
      </c>
      <c r="B12" s="508">
        <f>B72*1.6</f>
        <v>144000</v>
      </c>
      <c r="C12" s="414" t="s">
        <v>81</v>
      </c>
      <c r="D12" s="429">
        <f t="shared" si="3"/>
        <v>0</v>
      </c>
      <c r="E12" s="545">
        <f t="shared" si="1"/>
        <v>0</v>
      </c>
      <c r="F12" s="545">
        <f t="shared" si="1"/>
        <v>0</v>
      </c>
      <c r="G12" s="545">
        <f t="shared" si="1"/>
        <v>0</v>
      </c>
      <c r="H12" s="545">
        <f t="shared" si="1"/>
        <v>0</v>
      </c>
      <c r="I12" s="545">
        <f t="shared" si="1"/>
        <v>0</v>
      </c>
      <c r="J12" s="428">
        <f t="shared" si="2"/>
        <v>0</v>
      </c>
      <c r="K12" s="414"/>
      <c r="L12" s="414"/>
    </row>
    <row r="13" spans="1:19">
      <c r="A13" s="513" t="s">
        <v>99</v>
      </c>
      <c r="B13" s="542">
        <f>SUM(B14:B20)</f>
        <v>1216000</v>
      </c>
      <c r="C13" s="414" t="s">
        <v>83</v>
      </c>
      <c r="D13" s="429">
        <f t="shared" si="3"/>
        <v>594624000</v>
      </c>
      <c r="E13" s="538">
        <f t="shared" si="1"/>
        <v>425600000</v>
      </c>
      <c r="F13" s="538">
        <f t="shared" si="1"/>
        <v>364800000</v>
      </c>
      <c r="G13" s="538">
        <f t="shared" si="1"/>
        <v>662720000</v>
      </c>
      <c r="H13" s="538">
        <f t="shared" si="1"/>
        <v>729600000</v>
      </c>
      <c r="I13" s="538">
        <f t="shared" si="1"/>
        <v>790400000</v>
      </c>
      <c r="J13" s="428">
        <f t="shared" si="2"/>
        <v>2973120000</v>
      </c>
      <c r="K13" s="414"/>
      <c r="L13" s="414"/>
    </row>
    <row r="14" spans="1:19">
      <c r="A14" s="505" t="s">
        <v>100</v>
      </c>
      <c r="B14" s="541">
        <f t="shared" ref="B14:B20" si="4">B74*1.6</f>
        <v>64000</v>
      </c>
      <c r="C14" s="414" t="s">
        <v>83</v>
      </c>
      <c r="D14" s="429">
        <f t="shared" ref="D14:D20" si="5">J14/5</f>
        <v>0</v>
      </c>
      <c r="E14" s="545">
        <f t="shared" si="1"/>
        <v>0</v>
      </c>
      <c r="F14" s="545">
        <f t="shared" si="1"/>
        <v>0</v>
      </c>
      <c r="G14" s="545">
        <f t="shared" si="1"/>
        <v>0</v>
      </c>
      <c r="H14" s="545">
        <f t="shared" si="1"/>
        <v>0</v>
      </c>
      <c r="I14" s="545">
        <f t="shared" si="1"/>
        <v>0</v>
      </c>
      <c r="J14" s="428">
        <f t="shared" ref="J14:J20" si="6">SUM(E14:I14)</f>
        <v>0</v>
      </c>
      <c r="K14" s="414"/>
      <c r="L14" s="414"/>
    </row>
    <row r="15" spans="1:19">
      <c r="A15" s="505" t="s">
        <v>101</v>
      </c>
      <c r="B15" s="541">
        <f t="shared" si="4"/>
        <v>112000</v>
      </c>
      <c r="C15" s="414" t="s">
        <v>83</v>
      </c>
      <c r="D15" s="429">
        <f t="shared" si="5"/>
        <v>0</v>
      </c>
      <c r="E15" s="545">
        <f t="shared" si="1"/>
        <v>0</v>
      </c>
      <c r="F15" s="545">
        <f t="shared" si="1"/>
        <v>0</v>
      </c>
      <c r="G15" s="545">
        <f t="shared" si="1"/>
        <v>0</v>
      </c>
      <c r="H15" s="545">
        <f t="shared" si="1"/>
        <v>0</v>
      </c>
      <c r="I15" s="545">
        <f t="shared" si="1"/>
        <v>0</v>
      </c>
      <c r="J15" s="428">
        <f t="shared" si="6"/>
        <v>0</v>
      </c>
      <c r="K15" s="414"/>
      <c r="L15" s="414"/>
    </row>
    <row r="16" spans="1:19">
      <c r="A16" s="505" t="s">
        <v>102</v>
      </c>
      <c r="B16" s="541">
        <f t="shared" si="4"/>
        <v>112000</v>
      </c>
      <c r="C16" s="414" t="s">
        <v>83</v>
      </c>
      <c r="D16" s="429">
        <f t="shared" si="5"/>
        <v>0</v>
      </c>
      <c r="E16" s="545">
        <f t="shared" ref="E16:I25" si="7">$B16*E46</f>
        <v>0</v>
      </c>
      <c r="F16" s="545">
        <f t="shared" si="7"/>
        <v>0</v>
      </c>
      <c r="G16" s="545">
        <f t="shared" si="7"/>
        <v>0</v>
      </c>
      <c r="H16" s="545">
        <f t="shared" si="7"/>
        <v>0</v>
      </c>
      <c r="I16" s="545">
        <f t="shared" si="7"/>
        <v>0</v>
      </c>
      <c r="J16" s="428">
        <f t="shared" si="6"/>
        <v>0</v>
      </c>
      <c r="K16" s="414"/>
      <c r="L16" s="414"/>
    </row>
    <row r="17" spans="1:12">
      <c r="A17" s="505" t="s">
        <v>103</v>
      </c>
      <c r="B17" s="541">
        <f t="shared" si="4"/>
        <v>320000</v>
      </c>
      <c r="C17" s="414" t="s">
        <v>83</v>
      </c>
      <c r="D17" s="429">
        <f t="shared" si="5"/>
        <v>0</v>
      </c>
      <c r="E17" s="545">
        <f t="shared" si="7"/>
        <v>0</v>
      </c>
      <c r="F17" s="545">
        <f t="shared" si="7"/>
        <v>0</v>
      </c>
      <c r="G17" s="545">
        <f t="shared" si="7"/>
        <v>0</v>
      </c>
      <c r="H17" s="545">
        <f t="shared" si="7"/>
        <v>0</v>
      </c>
      <c r="I17" s="545">
        <f t="shared" si="7"/>
        <v>0</v>
      </c>
      <c r="J17" s="428">
        <f t="shared" si="6"/>
        <v>0</v>
      </c>
      <c r="K17" s="414"/>
      <c r="L17" s="414"/>
    </row>
    <row r="18" spans="1:12">
      <c r="A18" s="505" t="s">
        <v>104</v>
      </c>
      <c r="B18" s="541">
        <f t="shared" si="4"/>
        <v>144000</v>
      </c>
      <c r="C18" s="414" t="s">
        <v>83</v>
      </c>
      <c r="D18" s="429">
        <f t="shared" si="5"/>
        <v>0</v>
      </c>
      <c r="E18" s="545">
        <f t="shared" si="7"/>
        <v>0</v>
      </c>
      <c r="F18" s="545">
        <f t="shared" si="7"/>
        <v>0</v>
      </c>
      <c r="G18" s="545">
        <f t="shared" si="7"/>
        <v>0</v>
      </c>
      <c r="H18" s="545">
        <f t="shared" si="7"/>
        <v>0</v>
      </c>
      <c r="I18" s="545">
        <f t="shared" si="7"/>
        <v>0</v>
      </c>
      <c r="J18" s="428">
        <f t="shared" si="6"/>
        <v>0</v>
      </c>
      <c r="K18" s="414"/>
      <c r="L18" s="414"/>
    </row>
    <row r="19" spans="1:12">
      <c r="A19" s="505" t="s">
        <v>105</v>
      </c>
      <c r="B19" s="541">
        <f t="shared" si="4"/>
        <v>208000</v>
      </c>
      <c r="C19" s="414" t="s">
        <v>83</v>
      </c>
      <c r="D19" s="429">
        <f t="shared" si="5"/>
        <v>0</v>
      </c>
      <c r="E19" s="545">
        <f t="shared" si="7"/>
        <v>0</v>
      </c>
      <c r="F19" s="545">
        <f t="shared" si="7"/>
        <v>0</v>
      </c>
      <c r="G19" s="545">
        <f t="shared" si="7"/>
        <v>0</v>
      </c>
      <c r="H19" s="545">
        <f t="shared" si="7"/>
        <v>0</v>
      </c>
      <c r="I19" s="545">
        <f t="shared" si="7"/>
        <v>0</v>
      </c>
      <c r="J19" s="428">
        <f t="shared" si="6"/>
        <v>0</v>
      </c>
      <c r="K19" s="414"/>
      <c r="L19" s="414"/>
    </row>
    <row r="20" spans="1:12">
      <c r="A20" s="505" t="s">
        <v>106</v>
      </c>
      <c r="B20" s="541">
        <f t="shared" si="4"/>
        <v>256000</v>
      </c>
      <c r="C20" s="414" t="s">
        <v>83</v>
      </c>
      <c r="D20" s="429">
        <f t="shared" si="5"/>
        <v>0</v>
      </c>
      <c r="E20" s="545">
        <f t="shared" si="7"/>
        <v>0</v>
      </c>
      <c r="F20" s="545">
        <f t="shared" si="7"/>
        <v>0</v>
      </c>
      <c r="G20" s="545">
        <f t="shared" si="7"/>
        <v>0</v>
      </c>
      <c r="H20" s="545">
        <f t="shared" si="7"/>
        <v>0</v>
      </c>
      <c r="I20" s="545">
        <f t="shared" si="7"/>
        <v>0</v>
      </c>
      <c r="J20" s="428">
        <f t="shared" si="6"/>
        <v>0</v>
      </c>
      <c r="K20" s="414"/>
      <c r="L20" s="414"/>
    </row>
    <row r="21" spans="1:12">
      <c r="A21" s="513" t="s">
        <v>107</v>
      </c>
      <c r="B21" s="543">
        <f>SUM(B22:B23)</f>
        <v>448000</v>
      </c>
      <c r="C21" s="414" t="s">
        <v>83</v>
      </c>
      <c r="D21" s="429">
        <f t="shared" si="3"/>
        <v>87808000</v>
      </c>
      <c r="E21" s="538">
        <f t="shared" si="7"/>
        <v>44800000</v>
      </c>
      <c r="F21" s="538">
        <f t="shared" si="7"/>
        <v>35840000</v>
      </c>
      <c r="G21" s="538">
        <f t="shared" si="7"/>
        <v>116480000</v>
      </c>
      <c r="H21" s="538">
        <f t="shared" si="7"/>
        <v>89600000</v>
      </c>
      <c r="I21" s="538">
        <f t="shared" si="7"/>
        <v>152320000</v>
      </c>
      <c r="J21" s="428">
        <f t="shared" si="2"/>
        <v>439040000</v>
      </c>
      <c r="K21" s="414"/>
      <c r="L21" s="414"/>
    </row>
    <row r="22" spans="1:12">
      <c r="A22" s="506" t="s">
        <v>108</v>
      </c>
      <c r="B22" s="541">
        <f>B82*1.6</f>
        <v>64000</v>
      </c>
      <c r="C22" s="414" t="s">
        <v>83</v>
      </c>
      <c r="D22" s="429">
        <f t="shared" ref="D22:D29" si="8">J22/5</f>
        <v>0</v>
      </c>
      <c r="E22" s="545">
        <f t="shared" si="7"/>
        <v>0</v>
      </c>
      <c r="F22" s="545">
        <f t="shared" si="7"/>
        <v>0</v>
      </c>
      <c r="G22" s="545">
        <f t="shared" si="7"/>
        <v>0</v>
      </c>
      <c r="H22" s="545">
        <f t="shared" si="7"/>
        <v>0</v>
      </c>
      <c r="I22" s="545">
        <f t="shared" si="7"/>
        <v>0</v>
      </c>
      <c r="J22" s="428">
        <f t="shared" ref="J22:J29" si="9">SUM(E22:I22)</f>
        <v>0</v>
      </c>
      <c r="K22" s="414"/>
      <c r="L22" s="414"/>
    </row>
    <row r="23" spans="1:12">
      <c r="A23" s="506" t="s">
        <v>109</v>
      </c>
      <c r="B23" s="541">
        <f>B83*1.6</f>
        <v>384000</v>
      </c>
      <c r="C23" s="414" t="s">
        <v>83</v>
      </c>
      <c r="D23" s="429">
        <f t="shared" si="8"/>
        <v>0</v>
      </c>
      <c r="E23" s="545">
        <f t="shared" si="7"/>
        <v>0</v>
      </c>
      <c r="F23" s="545">
        <f t="shared" si="7"/>
        <v>0</v>
      </c>
      <c r="G23" s="545">
        <f t="shared" si="7"/>
        <v>0</v>
      </c>
      <c r="H23" s="545">
        <f t="shared" si="7"/>
        <v>0</v>
      </c>
      <c r="I23" s="545">
        <f t="shared" si="7"/>
        <v>0</v>
      </c>
      <c r="J23" s="428">
        <f t="shared" si="9"/>
        <v>0</v>
      </c>
      <c r="K23" s="414"/>
      <c r="L23" s="414"/>
    </row>
    <row r="24" spans="1:12">
      <c r="A24" s="532" t="s">
        <v>110</v>
      </c>
      <c r="B24" s="543">
        <f>SUM(B25:B29)</f>
        <v>704000</v>
      </c>
      <c r="C24" s="414" t="s">
        <v>83</v>
      </c>
      <c r="D24" s="429">
        <f t="shared" si="8"/>
        <v>153472000</v>
      </c>
      <c r="E24" s="538">
        <f t="shared" si="7"/>
        <v>84480000</v>
      </c>
      <c r="F24" s="538">
        <f t="shared" si="7"/>
        <v>63360000</v>
      </c>
      <c r="G24" s="538">
        <f t="shared" si="7"/>
        <v>211200000</v>
      </c>
      <c r="H24" s="538">
        <f t="shared" si="7"/>
        <v>253440000</v>
      </c>
      <c r="I24" s="538">
        <f t="shared" si="7"/>
        <v>154880000</v>
      </c>
      <c r="J24" s="428">
        <f t="shared" si="9"/>
        <v>767360000</v>
      </c>
      <c r="K24" s="414"/>
      <c r="L24" s="414"/>
    </row>
    <row r="25" spans="1:12">
      <c r="A25" s="505" t="s">
        <v>111</v>
      </c>
      <c r="B25" s="508">
        <f>B85*1.6</f>
        <v>208000</v>
      </c>
      <c r="C25" s="414" t="s">
        <v>83</v>
      </c>
      <c r="D25" s="429">
        <f t="shared" si="8"/>
        <v>0</v>
      </c>
      <c r="E25" s="545">
        <f t="shared" si="7"/>
        <v>0</v>
      </c>
      <c r="F25" s="545">
        <f t="shared" si="7"/>
        <v>0</v>
      </c>
      <c r="G25" s="545">
        <f t="shared" si="7"/>
        <v>0</v>
      </c>
      <c r="H25" s="545">
        <f t="shared" si="7"/>
        <v>0</v>
      </c>
      <c r="I25" s="545">
        <f t="shared" si="7"/>
        <v>0</v>
      </c>
      <c r="J25" s="428">
        <f t="shared" si="9"/>
        <v>0</v>
      </c>
      <c r="K25" s="414"/>
      <c r="L25" s="414"/>
    </row>
    <row r="26" spans="1:12">
      <c r="A26" s="505" t="s">
        <v>112</v>
      </c>
      <c r="B26" s="508">
        <f>B86*1.6</f>
        <v>112000</v>
      </c>
      <c r="C26" s="414" t="s">
        <v>83</v>
      </c>
      <c r="D26" s="429">
        <f t="shared" si="8"/>
        <v>0</v>
      </c>
      <c r="E26" s="545">
        <f t="shared" ref="E26:I29" si="10">$B26*E56</f>
        <v>0</v>
      </c>
      <c r="F26" s="545">
        <f t="shared" si="10"/>
        <v>0</v>
      </c>
      <c r="G26" s="545">
        <f t="shared" si="10"/>
        <v>0</v>
      </c>
      <c r="H26" s="545">
        <f t="shared" si="10"/>
        <v>0</v>
      </c>
      <c r="I26" s="545">
        <f t="shared" si="10"/>
        <v>0</v>
      </c>
      <c r="J26" s="428">
        <f t="shared" si="9"/>
        <v>0</v>
      </c>
      <c r="K26" s="414"/>
      <c r="L26" s="414"/>
    </row>
    <row r="27" spans="1:12">
      <c r="A27" s="505" t="s">
        <v>113</v>
      </c>
      <c r="B27" s="508">
        <f>B87*1.6</f>
        <v>128000</v>
      </c>
      <c r="C27" s="414" t="s">
        <v>81</v>
      </c>
      <c r="D27" s="429">
        <f t="shared" si="8"/>
        <v>0</v>
      </c>
      <c r="E27" s="545">
        <f t="shared" si="10"/>
        <v>0</v>
      </c>
      <c r="F27" s="545">
        <f t="shared" si="10"/>
        <v>0</v>
      </c>
      <c r="G27" s="545">
        <f t="shared" si="10"/>
        <v>0</v>
      </c>
      <c r="H27" s="545">
        <f t="shared" si="10"/>
        <v>0</v>
      </c>
      <c r="I27" s="545">
        <f t="shared" si="10"/>
        <v>0</v>
      </c>
      <c r="J27" s="428">
        <f t="shared" si="9"/>
        <v>0</v>
      </c>
      <c r="K27" s="414"/>
      <c r="L27" s="414"/>
    </row>
    <row r="28" spans="1:12">
      <c r="A28" s="505" t="s">
        <v>114</v>
      </c>
      <c r="B28" s="508">
        <f>B88*1.6</f>
        <v>240000</v>
      </c>
      <c r="C28" s="414" t="s">
        <v>81</v>
      </c>
      <c r="D28" s="429">
        <f t="shared" si="8"/>
        <v>0</v>
      </c>
      <c r="E28" s="545">
        <f t="shared" si="10"/>
        <v>0</v>
      </c>
      <c r="F28" s="545">
        <f t="shared" si="10"/>
        <v>0</v>
      </c>
      <c r="G28" s="545">
        <f t="shared" si="10"/>
        <v>0</v>
      </c>
      <c r="H28" s="545">
        <f t="shared" si="10"/>
        <v>0</v>
      </c>
      <c r="I28" s="545">
        <f t="shared" si="10"/>
        <v>0</v>
      </c>
      <c r="J28" s="428">
        <f t="shared" si="9"/>
        <v>0</v>
      </c>
      <c r="K28" s="414"/>
      <c r="L28" s="414"/>
    </row>
    <row r="29" spans="1:12">
      <c r="A29" s="505" t="s">
        <v>115</v>
      </c>
      <c r="B29" s="508">
        <f>B89*1.6</f>
        <v>16000</v>
      </c>
      <c r="C29" s="414" t="s">
        <v>81</v>
      </c>
      <c r="D29" s="429">
        <f t="shared" si="8"/>
        <v>0</v>
      </c>
      <c r="E29" s="545">
        <f t="shared" si="10"/>
        <v>0</v>
      </c>
      <c r="F29" s="545">
        <f t="shared" si="10"/>
        <v>0</v>
      </c>
      <c r="G29" s="545">
        <f t="shared" si="10"/>
        <v>0</v>
      </c>
      <c r="H29" s="545">
        <f t="shared" si="10"/>
        <v>0</v>
      </c>
      <c r="I29" s="545">
        <f t="shared" si="10"/>
        <v>0</v>
      </c>
      <c r="J29" s="428">
        <f t="shared" si="9"/>
        <v>0</v>
      </c>
      <c r="K29" s="414"/>
      <c r="L29" s="414"/>
    </row>
    <row r="30" spans="1:12">
      <c r="B30" s="414"/>
      <c r="C30" s="414"/>
      <c r="D30" s="429"/>
      <c r="E30" s="428"/>
      <c r="F30" s="428"/>
      <c r="G30" s="428"/>
      <c r="H30" s="428"/>
      <c r="I30" s="428"/>
      <c r="J30" s="428"/>
      <c r="K30" s="414"/>
      <c r="L30" s="414"/>
    </row>
    <row r="31" spans="1:12">
      <c r="A31" s="414"/>
      <c r="B31" s="414"/>
      <c r="C31" s="414"/>
      <c r="D31" s="429"/>
      <c r="E31" s="428"/>
      <c r="F31" s="428"/>
      <c r="G31" s="428"/>
      <c r="H31" s="428"/>
      <c r="I31" s="428"/>
      <c r="J31" s="428"/>
      <c r="K31" s="414"/>
      <c r="L31" s="414"/>
    </row>
    <row r="32" spans="1:12">
      <c r="A32" s="414"/>
      <c r="B32" s="414"/>
      <c r="C32" s="414"/>
      <c r="D32" s="429"/>
      <c r="E32" s="428"/>
      <c r="F32" s="428"/>
      <c r="G32" s="428"/>
      <c r="H32" s="428"/>
      <c r="I32" s="428"/>
      <c r="J32" s="428"/>
      <c r="K32" s="414"/>
    </row>
    <row r="33" spans="1:12">
      <c r="A33" s="431" t="s">
        <v>116</v>
      </c>
      <c r="B33" s="431" t="s">
        <v>73</v>
      </c>
      <c r="C33" s="431" t="s">
        <v>117</v>
      </c>
      <c r="D33" s="432">
        <f>J33/5</f>
        <v>0</v>
      </c>
      <c r="E33" s="433">
        <f>E35</f>
        <v>0</v>
      </c>
      <c r="F33" s="433">
        <f t="shared" ref="F33:I33" si="11">F35</f>
        <v>0</v>
      </c>
      <c r="G33" s="433">
        <f t="shared" si="11"/>
        <v>0</v>
      </c>
      <c r="H33" s="433">
        <f t="shared" si="11"/>
        <v>0</v>
      </c>
      <c r="I33" s="433">
        <f t="shared" si="11"/>
        <v>0</v>
      </c>
      <c r="J33" s="434">
        <f>SUM(E33:I33)</f>
        <v>0</v>
      </c>
      <c r="K33" s="431" t="s">
        <v>117</v>
      </c>
      <c r="L33" s="431" t="s">
        <v>73</v>
      </c>
    </row>
    <row r="34" spans="1:12">
      <c r="A34" s="414"/>
      <c r="B34" s="414"/>
      <c r="C34" s="414"/>
      <c r="D34" s="435"/>
      <c r="E34" s="436"/>
      <c r="F34" s="436"/>
      <c r="G34" s="436"/>
      <c r="H34" s="436"/>
      <c r="I34" s="436"/>
      <c r="J34" s="436"/>
      <c r="K34" s="414"/>
      <c r="L34" s="414"/>
    </row>
    <row r="35" spans="1:12">
      <c r="A35" s="423" t="s">
        <v>118</v>
      </c>
      <c r="B35" s="424" t="s">
        <v>73</v>
      </c>
      <c r="C35" s="424" t="s">
        <v>119</v>
      </c>
      <c r="D35" s="437"/>
      <c r="E35" s="436"/>
      <c r="F35" s="436"/>
      <c r="G35" s="436"/>
      <c r="H35" s="436"/>
      <c r="I35" s="436"/>
      <c r="J35" s="438"/>
      <c r="K35" s="424"/>
      <c r="L35" s="424" t="s">
        <v>73</v>
      </c>
    </row>
    <row r="36" spans="1:12">
      <c r="A36" s="530" t="s">
        <v>82</v>
      </c>
      <c r="B36" s="414"/>
      <c r="C36" s="414" t="s">
        <v>119</v>
      </c>
      <c r="D36" s="435"/>
      <c r="E36" s="504">
        <v>350</v>
      </c>
      <c r="F36" s="502">
        <v>300</v>
      </c>
      <c r="G36" s="502">
        <v>545</v>
      </c>
      <c r="H36" s="502">
        <v>600</v>
      </c>
      <c r="I36" s="502">
        <v>650</v>
      </c>
      <c r="J36" s="436"/>
      <c r="K36" s="414"/>
      <c r="L36" s="414"/>
    </row>
    <row r="37" spans="1:12">
      <c r="A37" s="444" t="s">
        <v>87</v>
      </c>
      <c r="B37" s="414"/>
      <c r="C37" s="414" t="s">
        <v>117</v>
      </c>
      <c r="D37" s="435"/>
      <c r="E37" s="502">
        <v>11</v>
      </c>
      <c r="F37" s="502">
        <v>11</v>
      </c>
      <c r="G37" s="502">
        <v>24</v>
      </c>
      <c r="H37" s="502">
        <v>24</v>
      </c>
      <c r="I37" s="502">
        <v>36</v>
      </c>
      <c r="J37" s="436"/>
      <c r="K37" s="414"/>
      <c r="L37" s="414"/>
    </row>
    <row r="38" spans="1:12">
      <c r="A38" t="s">
        <v>90</v>
      </c>
      <c r="B38" s="414"/>
      <c r="C38" s="414" t="s">
        <v>117</v>
      </c>
      <c r="D38" s="435"/>
      <c r="E38" s="502"/>
      <c r="F38" s="502"/>
      <c r="G38" s="502"/>
      <c r="H38" s="502"/>
      <c r="I38" s="502"/>
      <c r="J38" s="436"/>
      <c r="K38" s="414"/>
      <c r="L38" s="414"/>
    </row>
    <row r="39" spans="1:12">
      <c r="A39" t="s">
        <v>94</v>
      </c>
      <c r="C39" s="414" t="s">
        <v>117</v>
      </c>
      <c r="D39" s="435"/>
      <c r="E39" s="502"/>
      <c r="F39" s="502"/>
      <c r="G39" s="502"/>
      <c r="H39" s="502"/>
      <c r="I39" s="502"/>
      <c r="J39" s="436"/>
      <c r="K39" s="414"/>
      <c r="L39" s="414"/>
    </row>
    <row r="40" spans="1:12">
      <c r="A40" t="s">
        <v>96</v>
      </c>
      <c r="C40" s="414" t="s">
        <v>117</v>
      </c>
      <c r="D40" s="435"/>
      <c r="E40" s="502"/>
      <c r="F40" s="502"/>
      <c r="G40" s="502"/>
      <c r="H40" s="502"/>
      <c r="I40" s="502"/>
      <c r="J40" s="436"/>
      <c r="K40" s="414"/>
      <c r="L40" s="414"/>
    </row>
    <row r="41" spans="1:12">
      <c r="A41" t="s">
        <v>97</v>
      </c>
      <c r="C41" s="414" t="s">
        <v>117</v>
      </c>
      <c r="D41" s="435"/>
      <c r="E41" s="502"/>
      <c r="F41" s="502"/>
      <c r="G41" s="502"/>
      <c r="H41" s="502"/>
      <c r="I41" s="502"/>
      <c r="J41" s="436"/>
      <c r="K41" s="414"/>
      <c r="L41" s="414"/>
    </row>
    <row r="42" spans="1:12">
      <c r="A42" s="414" t="s">
        <v>98</v>
      </c>
      <c r="B42" s="414"/>
      <c r="C42" s="414" t="s">
        <v>117</v>
      </c>
      <c r="D42" s="435"/>
      <c r="E42" s="502"/>
      <c r="F42" s="502"/>
      <c r="G42" s="502"/>
      <c r="H42" s="502"/>
      <c r="I42" s="502"/>
      <c r="J42" s="436"/>
      <c r="K42" s="414"/>
      <c r="L42" s="414"/>
    </row>
    <row r="43" spans="1:12">
      <c r="A43" s="444" t="s">
        <v>99</v>
      </c>
      <c r="B43" s="414"/>
      <c r="C43" s="414" t="s">
        <v>119</v>
      </c>
      <c r="D43" s="435"/>
      <c r="E43" s="502">
        <v>350</v>
      </c>
      <c r="F43" s="502">
        <v>300</v>
      </c>
      <c r="G43" s="502">
        <v>545</v>
      </c>
      <c r="H43" s="502">
        <v>600</v>
      </c>
      <c r="I43" s="502">
        <v>650</v>
      </c>
      <c r="J43" s="436"/>
      <c r="K43" s="414"/>
      <c r="L43" s="414"/>
    </row>
    <row r="44" spans="1:12">
      <c r="A44" s="414" t="s">
        <v>100</v>
      </c>
      <c r="B44" s="414"/>
      <c r="C44" s="414" t="s">
        <v>119</v>
      </c>
      <c r="D44" s="435"/>
      <c r="E44" s="502"/>
      <c r="F44" s="502"/>
      <c r="G44" s="502"/>
      <c r="H44" s="502"/>
      <c r="I44" s="502"/>
      <c r="J44" s="436"/>
      <c r="K44" s="414"/>
      <c r="L44" s="414"/>
    </row>
    <row r="45" spans="1:12">
      <c r="A45" s="414" t="s">
        <v>101</v>
      </c>
      <c r="B45" s="414"/>
      <c r="C45" s="414" t="s">
        <v>119</v>
      </c>
      <c r="D45" s="435"/>
      <c r="E45" s="502"/>
      <c r="F45" s="502"/>
      <c r="G45" s="502"/>
      <c r="H45" s="502"/>
      <c r="I45" s="502"/>
      <c r="J45" s="436"/>
      <c r="K45" s="414"/>
      <c r="L45" s="414"/>
    </row>
    <row r="46" spans="1:12">
      <c r="A46" s="414" t="s">
        <v>102</v>
      </c>
      <c r="B46" s="414"/>
      <c r="C46" s="414" t="s">
        <v>119</v>
      </c>
      <c r="D46" s="435"/>
      <c r="E46" s="502"/>
      <c r="F46" s="502"/>
      <c r="G46" s="502"/>
      <c r="H46" s="502"/>
      <c r="I46" s="502"/>
      <c r="J46" s="436"/>
      <c r="K46" s="414"/>
      <c r="L46" s="414"/>
    </row>
    <row r="47" spans="1:12">
      <c r="A47" s="511" t="s">
        <v>103</v>
      </c>
      <c r="B47" s="414"/>
      <c r="C47" s="414" t="s">
        <v>119</v>
      </c>
      <c r="D47" s="435"/>
      <c r="E47" s="502"/>
      <c r="F47" s="502"/>
      <c r="G47" s="502"/>
      <c r="H47" s="502"/>
      <c r="I47" s="502"/>
      <c r="J47" s="436"/>
      <c r="K47" s="414"/>
      <c r="L47" s="414"/>
    </row>
    <row r="48" spans="1:12">
      <c r="A48" s="414" t="s">
        <v>104</v>
      </c>
      <c r="B48" s="414"/>
      <c r="C48" s="414" t="s">
        <v>119</v>
      </c>
      <c r="D48" s="435"/>
      <c r="E48" s="502"/>
      <c r="F48" s="502"/>
      <c r="G48" s="502"/>
      <c r="H48" s="502"/>
      <c r="I48" s="502"/>
      <c r="J48" s="436"/>
      <c r="K48" s="414"/>
      <c r="L48" s="414"/>
    </row>
    <row r="49" spans="1:12">
      <c r="A49" s="414" t="s">
        <v>105</v>
      </c>
      <c r="B49" s="414"/>
      <c r="C49" s="414" t="s">
        <v>119</v>
      </c>
      <c r="D49" s="435"/>
      <c r="E49" s="502"/>
      <c r="F49" s="502"/>
      <c r="G49" s="502"/>
      <c r="H49" s="502"/>
      <c r="I49" s="502"/>
      <c r="J49" s="436"/>
      <c r="K49" s="414"/>
      <c r="L49" s="414"/>
    </row>
    <row r="50" spans="1:12">
      <c r="A50" s="414" t="s">
        <v>106</v>
      </c>
      <c r="B50" s="414"/>
      <c r="C50" s="414" t="s">
        <v>119</v>
      </c>
      <c r="D50" s="435"/>
      <c r="E50" s="502"/>
      <c r="F50" s="502"/>
      <c r="G50" s="502"/>
      <c r="H50" s="502"/>
      <c r="I50" s="502"/>
      <c r="J50" s="436"/>
      <c r="K50" s="414"/>
      <c r="L50" s="414"/>
    </row>
    <row r="51" spans="1:12">
      <c r="A51" s="529" t="s">
        <v>107</v>
      </c>
      <c r="B51" s="414"/>
      <c r="C51" s="414" t="s">
        <v>119</v>
      </c>
      <c r="D51" s="435"/>
      <c r="E51" s="502">
        <v>100</v>
      </c>
      <c r="F51" s="502">
        <v>80</v>
      </c>
      <c r="G51" s="502">
        <v>260</v>
      </c>
      <c r="H51" s="502">
        <v>200</v>
      </c>
      <c r="I51" s="502">
        <v>340</v>
      </c>
      <c r="J51" s="436"/>
      <c r="K51" s="414"/>
      <c r="L51" s="414"/>
    </row>
    <row r="52" spans="1:12">
      <c r="A52" s="511" t="s">
        <v>108</v>
      </c>
      <c r="B52" s="414"/>
      <c r="C52" s="414" t="s">
        <v>119</v>
      </c>
      <c r="D52" s="435"/>
      <c r="E52" s="502"/>
      <c r="F52" s="502"/>
      <c r="G52" s="502"/>
      <c r="H52" s="502"/>
      <c r="I52" s="502"/>
      <c r="J52" s="436"/>
      <c r="K52" s="414"/>
      <c r="L52" s="414"/>
    </row>
    <row r="53" spans="1:12">
      <c r="A53" s="511" t="s">
        <v>109</v>
      </c>
      <c r="B53" s="414"/>
      <c r="C53" s="414" t="s">
        <v>119</v>
      </c>
      <c r="D53" s="435"/>
      <c r="E53" s="502"/>
      <c r="F53" s="502"/>
      <c r="G53" s="502"/>
      <c r="H53" s="502"/>
      <c r="I53" s="502"/>
      <c r="J53" s="436"/>
      <c r="K53" s="414"/>
      <c r="L53" s="414"/>
    </row>
    <row r="54" spans="1:12">
      <c r="A54" s="529" t="s">
        <v>110</v>
      </c>
      <c r="B54" s="414"/>
      <c r="C54" s="414" t="s">
        <v>119</v>
      </c>
      <c r="D54" s="435"/>
      <c r="E54" s="503">
        <v>120</v>
      </c>
      <c r="F54" s="503">
        <v>90</v>
      </c>
      <c r="G54" s="503">
        <v>300</v>
      </c>
      <c r="H54" s="503">
        <v>360</v>
      </c>
      <c r="I54" s="503">
        <v>220</v>
      </c>
      <c r="J54" s="436"/>
      <c r="K54" s="414"/>
      <c r="L54" s="414"/>
    </row>
    <row r="55" spans="1:12">
      <c r="A55" t="s">
        <v>111</v>
      </c>
      <c r="B55" s="430"/>
      <c r="C55" s="511" t="s">
        <v>119</v>
      </c>
      <c r="E55" s="533"/>
      <c r="F55" s="533"/>
      <c r="G55" s="533"/>
      <c r="H55" s="533"/>
      <c r="I55" s="533"/>
    </row>
    <row r="56" spans="1:12">
      <c r="A56" t="s">
        <v>112</v>
      </c>
      <c r="B56" s="430"/>
      <c r="C56" s="511" t="s">
        <v>119</v>
      </c>
      <c r="E56" s="533"/>
      <c r="F56" s="533"/>
      <c r="G56" s="533"/>
      <c r="H56" s="533"/>
      <c r="I56" s="533"/>
    </row>
    <row r="57" spans="1:12">
      <c r="A57" t="s">
        <v>113</v>
      </c>
      <c r="B57" s="430"/>
      <c r="C57" t="s">
        <v>117</v>
      </c>
      <c r="E57" s="533"/>
      <c r="F57" s="533"/>
      <c r="G57" s="533"/>
      <c r="H57" s="533"/>
      <c r="I57" s="533"/>
    </row>
    <row r="58" spans="1:12">
      <c r="A58" t="s">
        <v>114</v>
      </c>
      <c r="B58" s="430"/>
      <c r="C58" t="s">
        <v>117</v>
      </c>
      <c r="E58" s="533"/>
      <c r="F58" s="533"/>
      <c r="G58" s="533"/>
      <c r="H58" s="533"/>
      <c r="I58" s="533"/>
    </row>
    <row r="59" spans="1:12">
      <c r="A59" t="s">
        <v>115</v>
      </c>
      <c r="B59" s="430"/>
      <c r="C59" t="s">
        <v>117</v>
      </c>
      <c r="E59" s="533"/>
      <c r="F59" s="533"/>
      <c r="G59" s="533"/>
      <c r="H59" s="533"/>
      <c r="I59" s="533"/>
    </row>
    <row r="60" spans="1:12">
      <c r="B60" s="430"/>
    </row>
    <row r="63" spans="1:12">
      <c r="A63" s="439" t="s">
        <v>120</v>
      </c>
      <c r="B63" s="439" t="s">
        <v>73</v>
      </c>
      <c r="C63" s="439" t="s">
        <v>78</v>
      </c>
      <c r="D63" s="440">
        <f>J63/5</f>
        <v>582152000</v>
      </c>
      <c r="E63" s="441">
        <f>E65</f>
        <v>387410000</v>
      </c>
      <c r="F63" s="441">
        <f t="shared" ref="F63:I63" si="12">F65</f>
        <v>325610000</v>
      </c>
      <c r="G63" s="441">
        <f t="shared" si="12"/>
        <v>685740000</v>
      </c>
      <c r="H63" s="441">
        <f t="shared" si="12"/>
        <v>742640000</v>
      </c>
      <c r="I63" s="441">
        <f t="shared" si="12"/>
        <v>769360000</v>
      </c>
      <c r="J63" s="442">
        <f>J65</f>
        <v>2910760000</v>
      </c>
      <c r="K63" s="431" t="s">
        <v>78</v>
      </c>
      <c r="L63" s="443" t="s">
        <v>73</v>
      </c>
    </row>
    <row r="64" spans="1:12">
      <c r="A64" s="414"/>
      <c r="B64" s="414"/>
      <c r="C64" s="414"/>
      <c r="D64" s="415"/>
      <c r="E64" s="414"/>
      <c r="F64" s="414"/>
      <c r="G64" s="414"/>
      <c r="H64" s="414"/>
      <c r="I64" s="414"/>
      <c r="J64" s="414"/>
      <c r="K64" s="414"/>
      <c r="L64" s="414"/>
    </row>
    <row r="65" spans="1:12">
      <c r="A65" s="444" t="s">
        <v>121</v>
      </c>
      <c r="B65" s="414" t="s">
        <v>122</v>
      </c>
      <c r="C65" s="424" t="s">
        <v>81</v>
      </c>
      <c r="D65" s="445">
        <f>J65/5</f>
        <v>582152000</v>
      </c>
      <c r="E65" s="446">
        <f>SUM(E66:E89)</f>
        <v>387410000</v>
      </c>
      <c r="F65" s="446">
        <f>SUM(F66:F89)</f>
        <v>325610000</v>
      </c>
      <c r="G65" s="446">
        <f>SUM(G66:G89)</f>
        <v>685740000</v>
      </c>
      <c r="H65" s="446">
        <f>SUM(H66:H89)</f>
        <v>742640000</v>
      </c>
      <c r="I65" s="446">
        <f>SUM(I66:I89)</f>
        <v>769360000</v>
      </c>
      <c r="J65" s="446">
        <f t="shared" ref="J65:J89" si="13">SUM(E65:I65)</f>
        <v>2910760000</v>
      </c>
      <c r="K65" s="424"/>
      <c r="L65" s="424" t="s">
        <v>73</v>
      </c>
    </row>
    <row r="66" spans="1:12">
      <c r="A66" s="530" t="s">
        <v>82</v>
      </c>
      <c r="B66" s="509">
        <f>'Költségek&amp;Terv'!L2</f>
        <v>100000</v>
      </c>
      <c r="C66" s="414" t="s">
        <v>83</v>
      </c>
      <c r="D66" s="429">
        <f>J66/5</f>
        <v>48900000</v>
      </c>
      <c r="E66" s="546">
        <f t="shared" ref="E66:I75" si="14">$B66*E36</f>
        <v>35000000</v>
      </c>
      <c r="F66" s="546">
        <f t="shared" si="14"/>
        <v>30000000</v>
      </c>
      <c r="G66" s="546">
        <f t="shared" si="14"/>
        <v>54500000</v>
      </c>
      <c r="H66" s="546">
        <f t="shared" si="14"/>
        <v>60000000</v>
      </c>
      <c r="I66" s="546">
        <f t="shared" si="14"/>
        <v>65000000</v>
      </c>
      <c r="J66" s="447">
        <f t="shared" si="13"/>
        <v>244500000</v>
      </c>
      <c r="K66" s="414"/>
      <c r="L66" s="414"/>
    </row>
    <row r="67" spans="1:12">
      <c r="A67" s="444" t="s">
        <v>87</v>
      </c>
      <c r="B67" s="509">
        <f>SUM(B68:B72)</f>
        <v>510000</v>
      </c>
      <c r="C67" s="414" t="s">
        <v>81</v>
      </c>
      <c r="D67" s="429">
        <f t="shared" ref="D67:D73" si="15">J67/5</f>
        <v>10812000</v>
      </c>
      <c r="E67" s="546">
        <f t="shared" si="14"/>
        <v>5610000</v>
      </c>
      <c r="F67" s="546">
        <f t="shared" si="14"/>
        <v>5610000</v>
      </c>
      <c r="G67" s="546">
        <f t="shared" si="14"/>
        <v>12240000</v>
      </c>
      <c r="H67" s="546">
        <f t="shared" si="14"/>
        <v>12240000</v>
      </c>
      <c r="I67" s="546">
        <f t="shared" si="14"/>
        <v>18360000</v>
      </c>
      <c r="J67" s="447">
        <f t="shared" si="13"/>
        <v>54060000</v>
      </c>
      <c r="K67" s="414"/>
      <c r="L67" s="414"/>
    </row>
    <row r="68" spans="1:12">
      <c r="A68" t="s">
        <v>90</v>
      </c>
      <c r="B68" s="507">
        <f>'Költségek&amp;Terv'!B4</f>
        <v>300000</v>
      </c>
      <c r="C68" s="414" t="s">
        <v>81</v>
      </c>
      <c r="D68" s="429">
        <f t="shared" si="15"/>
        <v>0</v>
      </c>
      <c r="E68" s="447">
        <f t="shared" si="14"/>
        <v>0</v>
      </c>
      <c r="F68" s="447">
        <f t="shared" si="14"/>
        <v>0</v>
      </c>
      <c r="G68" s="447">
        <f t="shared" si="14"/>
        <v>0</v>
      </c>
      <c r="H68" s="447">
        <f t="shared" si="14"/>
        <v>0</v>
      </c>
      <c r="I68" s="447">
        <f t="shared" si="14"/>
        <v>0</v>
      </c>
      <c r="J68" s="447">
        <f t="shared" si="13"/>
        <v>0</v>
      </c>
      <c r="K68" s="414"/>
      <c r="L68" s="414"/>
    </row>
    <row r="69" spans="1:12">
      <c r="A69" t="s">
        <v>94</v>
      </c>
      <c r="B69" s="507">
        <f>'Költségek&amp;Terv'!C4</f>
        <v>100000</v>
      </c>
      <c r="C69" s="414" t="s">
        <v>81</v>
      </c>
      <c r="D69" s="429">
        <f t="shared" si="15"/>
        <v>0</v>
      </c>
      <c r="E69" s="447">
        <f t="shared" si="14"/>
        <v>0</v>
      </c>
      <c r="F69" s="447">
        <f t="shared" si="14"/>
        <v>0</v>
      </c>
      <c r="G69" s="447">
        <f t="shared" si="14"/>
        <v>0</v>
      </c>
      <c r="H69" s="447">
        <f t="shared" si="14"/>
        <v>0</v>
      </c>
      <c r="I69" s="447">
        <f t="shared" si="14"/>
        <v>0</v>
      </c>
      <c r="J69" s="447">
        <f t="shared" si="13"/>
        <v>0</v>
      </c>
      <c r="K69" s="414"/>
      <c r="L69" s="414"/>
    </row>
    <row r="70" spans="1:12">
      <c r="A70" t="s">
        <v>96</v>
      </c>
      <c r="B70" s="507">
        <f>'Költségek&amp;Terv'!D4</f>
        <v>8000</v>
      </c>
      <c r="C70" s="414" t="s">
        <v>81</v>
      </c>
      <c r="D70" s="429">
        <f t="shared" si="15"/>
        <v>0</v>
      </c>
      <c r="E70" s="447">
        <f t="shared" si="14"/>
        <v>0</v>
      </c>
      <c r="F70" s="447">
        <f t="shared" si="14"/>
        <v>0</v>
      </c>
      <c r="G70" s="447">
        <f t="shared" si="14"/>
        <v>0</v>
      </c>
      <c r="H70" s="447">
        <f t="shared" si="14"/>
        <v>0</v>
      </c>
      <c r="I70" s="447">
        <f t="shared" si="14"/>
        <v>0</v>
      </c>
      <c r="J70" s="447">
        <f t="shared" si="13"/>
        <v>0</v>
      </c>
      <c r="K70" s="414"/>
      <c r="L70" s="414"/>
    </row>
    <row r="71" spans="1:12">
      <c r="A71" t="s">
        <v>97</v>
      </c>
      <c r="B71" s="507">
        <f>'Költségek&amp;Terv'!E4</f>
        <v>12000</v>
      </c>
      <c r="C71" s="414" t="s">
        <v>81</v>
      </c>
      <c r="D71" s="429">
        <f t="shared" si="15"/>
        <v>0</v>
      </c>
      <c r="E71" s="447">
        <f t="shared" si="14"/>
        <v>0</v>
      </c>
      <c r="F71" s="447">
        <f t="shared" si="14"/>
        <v>0</v>
      </c>
      <c r="G71" s="447">
        <f t="shared" si="14"/>
        <v>0</v>
      </c>
      <c r="H71" s="447">
        <f t="shared" si="14"/>
        <v>0</v>
      </c>
      <c r="I71" s="447">
        <f t="shared" si="14"/>
        <v>0</v>
      </c>
      <c r="J71" s="447">
        <f t="shared" si="13"/>
        <v>0</v>
      </c>
      <c r="K71" s="414"/>
      <c r="L71" s="414"/>
    </row>
    <row r="72" spans="1:12">
      <c r="A72" s="414" t="s">
        <v>98</v>
      </c>
      <c r="B72" s="507">
        <f>'Költségek&amp;Terv'!F4</f>
        <v>90000</v>
      </c>
      <c r="C72" s="414" t="s">
        <v>81</v>
      </c>
      <c r="D72" s="429">
        <f t="shared" si="15"/>
        <v>0</v>
      </c>
      <c r="E72" s="447">
        <f t="shared" si="14"/>
        <v>0</v>
      </c>
      <c r="F72" s="447">
        <f t="shared" si="14"/>
        <v>0</v>
      </c>
      <c r="G72" s="447">
        <f t="shared" si="14"/>
        <v>0</v>
      </c>
      <c r="H72" s="447">
        <f t="shared" si="14"/>
        <v>0</v>
      </c>
      <c r="I72" s="447">
        <f t="shared" si="14"/>
        <v>0</v>
      </c>
      <c r="J72" s="447">
        <f t="shared" si="13"/>
        <v>0</v>
      </c>
      <c r="K72" s="414"/>
      <c r="L72" s="414"/>
    </row>
    <row r="73" spans="1:12">
      <c r="A73" s="529" t="s">
        <v>99</v>
      </c>
      <c r="B73" s="539">
        <f>SUM(B74:B80)</f>
        <v>760000</v>
      </c>
      <c r="C73" s="414" t="s">
        <v>83</v>
      </c>
      <c r="D73" s="429">
        <f t="shared" si="15"/>
        <v>371640000</v>
      </c>
      <c r="E73" s="546">
        <f t="shared" si="14"/>
        <v>266000000</v>
      </c>
      <c r="F73" s="546">
        <f t="shared" si="14"/>
        <v>228000000</v>
      </c>
      <c r="G73" s="546">
        <f t="shared" si="14"/>
        <v>414200000</v>
      </c>
      <c r="H73" s="546">
        <f t="shared" si="14"/>
        <v>456000000</v>
      </c>
      <c r="I73" s="546">
        <f t="shared" si="14"/>
        <v>494000000</v>
      </c>
      <c r="J73" s="447">
        <f t="shared" si="13"/>
        <v>1858200000</v>
      </c>
      <c r="K73" s="414"/>
      <c r="L73" s="414"/>
    </row>
    <row r="74" spans="1:12">
      <c r="A74" s="511" t="s">
        <v>100</v>
      </c>
      <c r="B74" s="531">
        <f>'Költségek&amp;Terv'!B8</f>
        <v>40000</v>
      </c>
      <c r="C74" s="414" t="s">
        <v>83</v>
      </c>
      <c r="D74" s="429">
        <f t="shared" ref="D74:D89" si="16">J74/5</f>
        <v>0</v>
      </c>
      <c r="E74" s="447">
        <f t="shared" si="14"/>
        <v>0</v>
      </c>
      <c r="F74" s="447">
        <f t="shared" si="14"/>
        <v>0</v>
      </c>
      <c r="G74" s="447">
        <f t="shared" si="14"/>
        <v>0</v>
      </c>
      <c r="H74" s="447">
        <f t="shared" si="14"/>
        <v>0</v>
      </c>
      <c r="I74" s="447">
        <f t="shared" si="14"/>
        <v>0</v>
      </c>
      <c r="J74" s="447">
        <f t="shared" si="13"/>
        <v>0</v>
      </c>
      <c r="K74" s="414"/>
      <c r="L74" s="414"/>
    </row>
    <row r="75" spans="1:12">
      <c r="A75" s="511" t="s">
        <v>101</v>
      </c>
      <c r="B75" s="531">
        <f>'Költségek&amp;Terv'!C8</f>
        <v>70000</v>
      </c>
      <c r="C75" s="414" t="s">
        <v>83</v>
      </c>
      <c r="D75" s="429">
        <f t="shared" si="16"/>
        <v>0</v>
      </c>
      <c r="E75" s="447">
        <f t="shared" si="14"/>
        <v>0</v>
      </c>
      <c r="F75" s="447">
        <f t="shared" si="14"/>
        <v>0</v>
      </c>
      <c r="G75" s="447">
        <f t="shared" si="14"/>
        <v>0</v>
      </c>
      <c r="H75" s="447">
        <f t="shared" si="14"/>
        <v>0</v>
      </c>
      <c r="I75" s="447">
        <f t="shared" si="14"/>
        <v>0</v>
      </c>
      <c r="J75" s="447">
        <f t="shared" si="13"/>
        <v>0</v>
      </c>
      <c r="K75" s="414"/>
      <c r="L75" s="414"/>
    </row>
    <row r="76" spans="1:12">
      <c r="A76" s="511" t="s">
        <v>102</v>
      </c>
      <c r="B76" s="531">
        <f>'Költségek&amp;Terv'!D8</f>
        <v>70000</v>
      </c>
      <c r="C76" s="414" t="s">
        <v>83</v>
      </c>
      <c r="D76" s="429">
        <f t="shared" si="16"/>
        <v>0</v>
      </c>
      <c r="E76" s="447">
        <f t="shared" ref="E76:I85" si="17">$B76*E46</f>
        <v>0</v>
      </c>
      <c r="F76" s="447">
        <f t="shared" si="17"/>
        <v>0</v>
      </c>
      <c r="G76" s="447">
        <f t="shared" si="17"/>
        <v>0</v>
      </c>
      <c r="H76" s="447">
        <f t="shared" si="17"/>
        <v>0</v>
      </c>
      <c r="I76" s="447">
        <f t="shared" si="17"/>
        <v>0</v>
      </c>
      <c r="J76" s="447">
        <f t="shared" si="13"/>
        <v>0</v>
      </c>
      <c r="K76" s="414"/>
      <c r="L76" s="414"/>
    </row>
    <row r="77" spans="1:12">
      <c r="A77" s="511" t="s">
        <v>103</v>
      </c>
      <c r="B77" s="531">
        <f>'Költségek&amp;Terv'!E8</f>
        <v>200000</v>
      </c>
      <c r="C77" s="414" t="s">
        <v>83</v>
      </c>
      <c r="D77" s="429">
        <f t="shared" si="16"/>
        <v>0</v>
      </c>
      <c r="E77" s="447">
        <f t="shared" si="17"/>
        <v>0</v>
      </c>
      <c r="F77" s="447">
        <f t="shared" si="17"/>
        <v>0</v>
      </c>
      <c r="G77" s="447">
        <f t="shared" si="17"/>
        <v>0</v>
      </c>
      <c r="H77" s="447">
        <f t="shared" si="17"/>
        <v>0</v>
      </c>
      <c r="I77" s="447">
        <f t="shared" si="17"/>
        <v>0</v>
      </c>
      <c r="J77" s="447">
        <f t="shared" si="13"/>
        <v>0</v>
      </c>
      <c r="K77" s="414"/>
      <c r="L77" s="414"/>
    </row>
    <row r="78" spans="1:12">
      <c r="A78" s="511" t="s">
        <v>104</v>
      </c>
      <c r="B78" s="531">
        <f>'Költségek&amp;Terv'!F8</f>
        <v>90000</v>
      </c>
      <c r="C78" s="414" t="s">
        <v>83</v>
      </c>
      <c r="D78" s="429">
        <f t="shared" si="16"/>
        <v>0</v>
      </c>
      <c r="E78" s="447">
        <f t="shared" si="17"/>
        <v>0</v>
      </c>
      <c r="F78" s="447">
        <f t="shared" si="17"/>
        <v>0</v>
      </c>
      <c r="G78" s="447">
        <f t="shared" si="17"/>
        <v>0</v>
      </c>
      <c r="H78" s="447">
        <f t="shared" si="17"/>
        <v>0</v>
      </c>
      <c r="I78" s="447">
        <f t="shared" si="17"/>
        <v>0</v>
      </c>
      <c r="J78" s="447">
        <f t="shared" si="13"/>
        <v>0</v>
      </c>
      <c r="K78" s="414"/>
      <c r="L78" s="414"/>
    </row>
    <row r="79" spans="1:12">
      <c r="A79" s="511" t="s">
        <v>105</v>
      </c>
      <c r="B79" s="531">
        <f>'Költségek&amp;Terv'!G8</f>
        <v>130000</v>
      </c>
      <c r="C79" s="414" t="s">
        <v>83</v>
      </c>
      <c r="D79" s="429">
        <f t="shared" si="16"/>
        <v>0</v>
      </c>
      <c r="E79" s="447">
        <f t="shared" si="17"/>
        <v>0</v>
      </c>
      <c r="F79" s="447">
        <f t="shared" si="17"/>
        <v>0</v>
      </c>
      <c r="G79" s="447">
        <f t="shared" si="17"/>
        <v>0</v>
      </c>
      <c r="H79" s="447">
        <f t="shared" si="17"/>
        <v>0</v>
      </c>
      <c r="I79" s="447">
        <f t="shared" si="17"/>
        <v>0</v>
      </c>
      <c r="J79" s="447">
        <f t="shared" si="13"/>
        <v>0</v>
      </c>
      <c r="K79" s="414"/>
      <c r="L79" s="414"/>
    </row>
    <row r="80" spans="1:12">
      <c r="A80" s="511" t="s">
        <v>106</v>
      </c>
      <c r="B80" s="531">
        <f>'Költségek&amp;Terv'!H8</f>
        <v>160000</v>
      </c>
      <c r="C80" s="414" t="s">
        <v>83</v>
      </c>
      <c r="D80" s="429">
        <f t="shared" si="16"/>
        <v>0</v>
      </c>
      <c r="E80" s="447">
        <f t="shared" si="17"/>
        <v>0</v>
      </c>
      <c r="F80" s="447">
        <f t="shared" si="17"/>
        <v>0</v>
      </c>
      <c r="G80" s="447">
        <f t="shared" si="17"/>
        <v>0</v>
      </c>
      <c r="H80" s="447">
        <f t="shared" si="17"/>
        <v>0</v>
      </c>
      <c r="I80" s="447">
        <f t="shared" si="17"/>
        <v>0</v>
      </c>
      <c r="J80" s="447">
        <f t="shared" si="13"/>
        <v>0</v>
      </c>
      <c r="K80" s="414"/>
      <c r="L80" s="414"/>
    </row>
    <row r="81" spans="1:12">
      <c r="A81" s="529" t="s">
        <v>107</v>
      </c>
      <c r="B81" s="539">
        <f>SUM(B82:B83)</f>
        <v>280000</v>
      </c>
      <c r="C81" s="414" t="s">
        <v>83</v>
      </c>
      <c r="D81" s="429">
        <f t="shared" si="16"/>
        <v>54880000</v>
      </c>
      <c r="E81" s="548">
        <f t="shared" si="17"/>
        <v>28000000</v>
      </c>
      <c r="F81" s="548">
        <f t="shared" si="17"/>
        <v>22400000</v>
      </c>
      <c r="G81" s="548">
        <f t="shared" si="17"/>
        <v>72800000</v>
      </c>
      <c r="H81" s="548">
        <f t="shared" si="17"/>
        <v>56000000</v>
      </c>
      <c r="I81" s="548">
        <f t="shared" si="17"/>
        <v>95200000</v>
      </c>
      <c r="J81" s="447">
        <f t="shared" si="13"/>
        <v>274400000</v>
      </c>
      <c r="K81" s="414"/>
      <c r="L81" s="414"/>
    </row>
    <row r="82" spans="1:12">
      <c r="A82" s="511" t="s">
        <v>108</v>
      </c>
      <c r="B82" s="531">
        <f>'Költségek&amp;Terv'!B15</f>
        <v>40000</v>
      </c>
      <c r="C82" s="414" t="s">
        <v>83</v>
      </c>
      <c r="D82" s="429">
        <f t="shared" si="16"/>
        <v>0</v>
      </c>
      <c r="E82" s="447">
        <f t="shared" si="17"/>
        <v>0</v>
      </c>
      <c r="F82" s="447">
        <f t="shared" si="17"/>
        <v>0</v>
      </c>
      <c r="G82" s="447">
        <f t="shared" si="17"/>
        <v>0</v>
      </c>
      <c r="H82" s="447">
        <f t="shared" si="17"/>
        <v>0</v>
      </c>
      <c r="I82" s="447">
        <f t="shared" si="17"/>
        <v>0</v>
      </c>
      <c r="J82" s="447">
        <f t="shared" si="13"/>
        <v>0</v>
      </c>
      <c r="K82" s="414"/>
      <c r="L82" s="414"/>
    </row>
    <row r="83" spans="1:12">
      <c r="A83" s="511" t="s">
        <v>109</v>
      </c>
      <c r="B83" s="531">
        <f>'Költségek&amp;Terv'!C15</f>
        <v>240000</v>
      </c>
      <c r="C83" s="414" t="s">
        <v>83</v>
      </c>
      <c r="D83" s="429">
        <f t="shared" si="16"/>
        <v>0</v>
      </c>
      <c r="E83" s="447">
        <f t="shared" si="17"/>
        <v>0</v>
      </c>
      <c r="F83" s="447">
        <f t="shared" si="17"/>
        <v>0</v>
      </c>
      <c r="G83" s="447">
        <f t="shared" si="17"/>
        <v>0</v>
      </c>
      <c r="H83" s="447">
        <f t="shared" si="17"/>
        <v>0</v>
      </c>
      <c r="I83" s="447">
        <f t="shared" si="17"/>
        <v>0</v>
      </c>
      <c r="J83" s="447">
        <f t="shared" si="13"/>
        <v>0</v>
      </c>
      <c r="K83" s="414"/>
      <c r="L83" s="414"/>
    </row>
    <row r="84" spans="1:12">
      <c r="A84" s="529" t="s">
        <v>110</v>
      </c>
      <c r="B84" s="540">
        <f>SUM(B85:B89)</f>
        <v>440000</v>
      </c>
      <c r="C84" s="414" t="s">
        <v>83</v>
      </c>
      <c r="D84" s="429">
        <f t="shared" si="16"/>
        <v>95920000</v>
      </c>
      <c r="E84" s="546">
        <f t="shared" si="17"/>
        <v>52800000</v>
      </c>
      <c r="F84" s="546">
        <f t="shared" si="17"/>
        <v>39600000</v>
      </c>
      <c r="G84" s="546">
        <f t="shared" si="17"/>
        <v>132000000</v>
      </c>
      <c r="H84" s="546">
        <f t="shared" si="17"/>
        <v>158400000</v>
      </c>
      <c r="I84" s="546">
        <f t="shared" si="17"/>
        <v>96800000</v>
      </c>
      <c r="J84" s="447">
        <f t="shared" si="13"/>
        <v>479600000</v>
      </c>
      <c r="K84" s="414"/>
      <c r="L84" s="414"/>
    </row>
    <row r="85" spans="1:12">
      <c r="A85" t="s">
        <v>111</v>
      </c>
      <c r="B85" s="531">
        <f>'Költségek&amp;Terv'!B12</f>
        <v>130000</v>
      </c>
      <c r="C85" s="414" t="s">
        <v>83</v>
      </c>
      <c r="D85" s="429">
        <f t="shared" si="16"/>
        <v>0</v>
      </c>
      <c r="E85" s="447">
        <f t="shared" si="17"/>
        <v>0</v>
      </c>
      <c r="F85" s="447">
        <f t="shared" si="17"/>
        <v>0</v>
      </c>
      <c r="G85" s="447">
        <f t="shared" si="17"/>
        <v>0</v>
      </c>
      <c r="H85" s="447">
        <f t="shared" si="17"/>
        <v>0</v>
      </c>
      <c r="I85" s="447">
        <f t="shared" si="17"/>
        <v>0</v>
      </c>
      <c r="J85" s="447">
        <f t="shared" si="13"/>
        <v>0</v>
      </c>
      <c r="K85" s="414"/>
      <c r="L85" s="414"/>
    </row>
    <row r="86" spans="1:12">
      <c r="A86" t="s">
        <v>112</v>
      </c>
      <c r="B86" s="531">
        <f>'Költségek&amp;Terv'!C12</f>
        <v>70000</v>
      </c>
      <c r="C86" s="414" t="s">
        <v>83</v>
      </c>
      <c r="D86" s="429">
        <f t="shared" si="16"/>
        <v>0</v>
      </c>
      <c r="E86" s="447">
        <f t="shared" ref="E86:I89" si="18">$B86*E56</f>
        <v>0</v>
      </c>
      <c r="F86" s="447">
        <f t="shared" si="18"/>
        <v>0</v>
      </c>
      <c r="G86" s="447">
        <f t="shared" si="18"/>
        <v>0</v>
      </c>
      <c r="H86" s="447">
        <f t="shared" si="18"/>
        <v>0</v>
      </c>
      <c r="I86" s="447">
        <f t="shared" si="18"/>
        <v>0</v>
      </c>
      <c r="J86" s="447">
        <f t="shared" si="13"/>
        <v>0</v>
      </c>
      <c r="K86" s="414"/>
      <c r="L86" s="414"/>
    </row>
    <row r="87" spans="1:12">
      <c r="A87" t="s">
        <v>113</v>
      </c>
      <c r="B87" s="531">
        <f>'Költségek&amp;Terv'!D12</f>
        <v>80000</v>
      </c>
      <c r="C87" s="414" t="s">
        <v>81</v>
      </c>
      <c r="D87" s="429">
        <f t="shared" si="16"/>
        <v>0</v>
      </c>
      <c r="E87" s="447">
        <f t="shared" si="18"/>
        <v>0</v>
      </c>
      <c r="F87" s="447">
        <f t="shared" si="18"/>
        <v>0</v>
      </c>
      <c r="G87" s="447">
        <f t="shared" si="18"/>
        <v>0</v>
      </c>
      <c r="H87" s="447">
        <f t="shared" si="18"/>
        <v>0</v>
      </c>
      <c r="I87" s="447">
        <f t="shared" si="18"/>
        <v>0</v>
      </c>
      <c r="J87" s="447">
        <f t="shared" si="13"/>
        <v>0</v>
      </c>
      <c r="K87" s="414"/>
      <c r="L87" s="414"/>
    </row>
    <row r="88" spans="1:12">
      <c r="A88" t="s">
        <v>114</v>
      </c>
      <c r="B88" s="531">
        <f>'Költségek&amp;Terv'!E12</f>
        <v>150000</v>
      </c>
      <c r="C88" s="414" t="s">
        <v>81</v>
      </c>
      <c r="D88" s="429">
        <f t="shared" si="16"/>
        <v>0</v>
      </c>
      <c r="E88" s="447">
        <f t="shared" si="18"/>
        <v>0</v>
      </c>
      <c r="F88" s="447">
        <f t="shared" si="18"/>
        <v>0</v>
      </c>
      <c r="G88" s="447">
        <f t="shared" si="18"/>
        <v>0</v>
      </c>
      <c r="H88" s="447">
        <f t="shared" si="18"/>
        <v>0</v>
      </c>
      <c r="I88" s="447">
        <f t="shared" si="18"/>
        <v>0</v>
      </c>
      <c r="J88" s="447">
        <f t="shared" si="13"/>
        <v>0</v>
      </c>
      <c r="K88" s="414"/>
      <c r="L88" s="414"/>
    </row>
    <row r="89" spans="1:12">
      <c r="A89" t="s">
        <v>115</v>
      </c>
      <c r="B89" s="531">
        <f>'Költségek&amp;Terv'!F12</f>
        <v>10000</v>
      </c>
      <c r="C89" s="414" t="s">
        <v>81</v>
      </c>
      <c r="D89" s="429">
        <f t="shared" si="16"/>
        <v>0</v>
      </c>
      <c r="E89" s="447">
        <f t="shared" si="18"/>
        <v>0</v>
      </c>
      <c r="F89" s="447">
        <f t="shared" si="18"/>
        <v>0</v>
      </c>
      <c r="G89" s="447">
        <f t="shared" si="18"/>
        <v>0</v>
      </c>
      <c r="H89" s="447">
        <f t="shared" si="18"/>
        <v>0</v>
      </c>
      <c r="I89" s="447">
        <f t="shared" si="18"/>
        <v>0</v>
      </c>
      <c r="J89" s="447">
        <f t="shared" si="13"/>
        <v>0</v>
      </c>
      <c r="K89" s="414"/>
      <c r="L89" s="414"/>
    </row>
    <row r="90" spans="1:12">
      <c r="J90" s="436"/>
      <c r="K90" s="414"/>
    </row>
    <row r="93" spans="1:12">
      <c r="A93" s="448" t="s">
        <v>123</v>
      </c>
      <c r="B93" s="448" t="s">
        <v>73</v>
      </c>
      <c r="C93" s="448" t="s">
        <v>78</v>
      </c>
      <c r="D93" s="449">
        <f>J93/5</f>
        <v>349291200</v>
      </c>
      <c r="E93" s="450">
        <f>E3-E63</f>
        <v>232446000</v>
      </c>
      <c r="F93" s="450">
        <f>F3-F63</f>
        <v>195366000</v>
      </c>
      <c r="G93" s="450">
        <f>G3-G63</f>
        <v>411444000</v>
      </c>
      <c r="H93" s="450">
        <f>H3-H63</f>
        <v>445584000</v>
      </c>
      <c r="I93" s="450">
        <f>I3-I63</f>
        <v>461616000</v>
      </c>
      <c r="J93" s="451">
        <f>SUM(E93:I93)</f>
        <v>1746456000</v>
      </c>
      <c r="K93" s="448"/>
      <c r="L93" s="448" t="s">
        <v>73</v>
      </c>
    </row>
    <row r="94" spans="1:12">
      <c r="A94" s="414"/>
      <c r="B94" s="414"/>
      <c r="C94" s="414"/>
      <c r="D94" s="421"/>
      <c r="E94" s="422"/>
      <c r="F94" s="422"/>
      <c r="G94" s="422"/>
      <c r="H94" s="422"/>
      <c r="I94" s="422"/>
      <c r="J94" s="422"/>
      <c r="K94" s="422"/>
      <c r="L94" s="414"/>
    </row>
    <row r="95" spans="1:12">
      <c r="A95" s="431" t="s">
        <v>55</v>
      </c>
      <c r="B95" s="431" t="s">
        <v>73</v>
      </c>
      <c r="C95" s="431" t="s">
        <v>78</v>
      </c>
      <c r="D95" s="440">
        <f>J95/5</f>
        <v>175206694.11283439</v>
      </c>
      <c r="E95" s="441">
        <f>E97+E114+E123</f>
        <v>151140882.35827664</v>
      </c>
      <c r="F95" s="441">
        <f>F97+F114+F123</f>
        <v>162352346.47619048</v>
      </c>
      <c r="G95" s="441">
        <f>G97+G114+G123</f>
        <v>172470164.59999999</v>
      </c>
      <c r="H95" s="441">
        <f>H97+H114+H123</f>
        <v>186650401.16099998</v>
      </c>
      <c r="I95" s="441">
        <f>I97+I114+I123</f>
        <v>203419675.968705</v>
      </c>
      <c r="J95" s="442">
        <f>SUM(E95:I95)</f>
        <v>876033470.56417203</v>
      </c>
      <c r="K95" s="431"/>
      <c r="L95" s="431" t="s">
        <v>73</v>
      </c>
    </row>
    <row r="96" spans="1:12">
      <c r="A96" s="414"/>
      <c r="B96" s="414"/>
      <c r="C96" s="414"/>
      <c r="D96" s="421"/>
      <c r="E96" s="422"/>
      <c r="F96" s="422"/>
      <c r="G96" s="422"/>
      <c r="H96" s="422"/>
      <c r="I96" s="422"/>
      <c r="J96" s="422"/>
      <c r="K96" s="414"/>
      <c r="L96" s="414"/>
    </row>
    <row r="97" spans="1:12">
      <c r="A97" s="423" t="s">
        <v>124</v>
      </c>
      <c r="B97" s="424" t="s">
        <v>73</v>
      </c>
      <c r="C97" s="424" t="s">
        <v>125</v>
      </c>
      <c r="D97" s="445">
        <f>J97/5</f>
        <v>125161351.62554097</v>
      </c>
      <c r="E97" s="452">
        <f>E99</f>
        <v>104411999.99999999</v>
      </c>
      <c r="F97" s="452">
        <f>F99</f>
        <v>113287019.99999999</v>
      </c>
      <c r="G97" s="452">
        <f>G99</f>
        <v>123482851.8</v>
      </c>
      <c r="H97" s="452">
        <f>H99</f>
        <v>135213722.72099999</v>
      </c>
      <c r="I97" s="452">
        <f>I99</f>
        <v>149411163.60670498</v>
      </c>
      <c r="J97" s="446">
        <f t="shared" ref="J97:J104" si="19">SUM(E97:I97)</f>
        <v>625806758.12770486</v>
      </c>
      <c r="K97" s="424"/>
      <c r="L97" s="424" t="s">
        <v>73</v>
      </c>
    </row>
    <row r="98" spans="1:12">
      <c r="A98" s="414" t="s">
        <v>126</v>
      </c>
      <c r="B98" s="414" t="s">
        <v>127</v>
      </c>
      <c r="C98" s="414" t="s">
        <v>128</v>
      </c>
      <c r="D98" s="453">
        <f>J98/5</f>
        <v>7.4999999999999997E-2</v>
      </c>
      <c r="E98" s="454">
        <v>0</v>
      </c>
      <c r="F98" s="454">
        <v>8.5000000000000006E-2</v>
      </c>
      <c r="G98" s="454">
        <v>0.09</v>
      </c>
      <c r="H98" s="454">
        <v>9.5000000000000001E-2</v>
      </c>
      <c r="I98" s="454">
        <v>0.105</v>
      </c>
      <c r="J98" s="455">
        <f t="shared" si="19"/>
        <v>0.375</v>
      </c>
      <c r="K98" s="414" t="s">
        <v>128</v>
      </c>
      <c r="L98" s="414"/>
    </row>
    <row r="99" spans="1:12">
      <c r="A99" s="444" t="s">
        <v>129</v>
      </c>
      <c r="B99" s="414" t="s">
        <v>130</v>
      </c>
      <c r="C99" s="414" t="s">
        <v>131</v>
      </c>
      <c r="D99" s="429">
        <f>J99/5</f>
        <v>125161351.62554097</v>
      </c>
      <c r="E99" s="447">
        <f>SUM(E100:E104)</f>
        <v>104411999.99999999</v>
      </c>
      <c r="F99" s="447">
        <f>SUM(F100:F104)</f>
        <v>113287019.99999999</v>
      </c>
      <c r="G99" s="447">
        <f>SUM(G100:G104)</f>
        <v>123482851.8</v>
      </c>
      <c r="H99" s="447">
        <f>SUM(H100:H104)</f>
        <v>135213722.72099999</v>
      </c>
      <c r="I99" s="447">
        <f>SUM(I100:I104)</f>
        <v>149411163.60670498</v>
      </c>
      <c r="J99" s="447">
        <f t="shared" si="19"/>
        <v>625806758.12770486</v>
      </c>
      <c r="K99" s="414"/>
      <c r="L99" s="414"/>
    </row>
    <row r="100" spans="1:12">
      <c r="A100" s="414" t="s">
        <v>132</v>
      </c>
      <c r="B100" s="507">
        <v>542399.99999999988</v>
      </c>
      <c r="C100" s="447">
        <f>(B100*0.87)*0.665</f>
        <v>313805.51999999996</v>
      </c>
      <c r="D100" s="429">
        <f>J100/5</f>
        <v>31209064.301433593</v>
      </c>
      <c r="E100" s="447">
        <f>$B100*E108*12</f>
        <v>26035199.999999993</v>
      </c>
      <c r="F100" s="447">
        <f>E100*(1+F$98)</f>
        <v>28248191.999999993</v>
      </c>
      <c r="G100" s="447">
        <f>F100*(1+G$98)</f>
        <v>30790529.279999994</v>
      </c>
      <c r="H100" s="447">
        <f>G100*(1+H$98)</f>
        <v>33715629.561599992</v>
      </c>
      <c r="I100" s="447">
        <f t="shared" ref="F100:I104" si="20">H100*(1+I$98)</f>
        <v>37255770.665567994</v>
      </c>
      <c r="J100" s="447">
        <f>SUM(E100:I100)</f>
        <v>156045321.50716797</v>
      </c>
      <c r="K100" s="414"/>
      <c r="L100" s="414"/>
    </row>
    <row r="101" spans="1:12">
      <c r="A101" s="414" t="s">
        <v>133</v>
      </c>
      <c r="B101" s="507">
        <v>903999.99999999988</v>
      </c>
      <c r="C101" s="547">
        <f>(B101*0.87)*0.665</f>
        <v>523009.19999999995</v>
      </c>
      <c r="D101" s="429">
        <f t="shared" ref="D101:D104" si="21">J101/5</f>
        <v>52015107.169055991</v>
      </c>
      <c r="E101" s="447">
        <f>$B101*E109*12</f>
        <v>43391999.999999993</v>
      </c>
      <c r="F101" s="447">
        <f t="shared" si="20"/>
        <v>47080319.999999993</v>
      </c>
      <c r="G101" s="447">
        <f t="shared" si="20"/>
        <v>51317548.799999997</v>
      </c>
      <c r="H101" s="447">
        <f t="shared" si="20"/>
        <v>56192715.935999997</v>
      </c>
      <c r="I101" s="447">
        <f t="shared" si="20"/>
        <v>62092951.109279998</v>
      </c>
      <c r="J101" s="447">
        <f t="shared" si="19"/>
        <v>260075535.84527996</v>
      </c>
      <c r="K101" s="414"/>
      <c r="L101" s="414"/>
    </row>
    <row r="102" spans="1:12">
      <c r="A102" s="544" t="s">
        <v>134</v>
      </c>
      <c r="B102" s="507">
        <v>723200</v>
      </c>
      <c r="C102" s="547">
        <f>(B102*0.87)*0.665</f>
        <v>418407.36000000004</v>
      </c>
      <c r="D102" s="429">
        <f t="shared" si="21"/>
        <v>20806042.867622398</v>
      </c>
      <c r="E102" s="447">
        <f>$B102*E110*12</f>
        <v>17356800</v>
      </c>
      <c r="F102" s="447">
        <f t="shared" si="20"/>
        <v>18832128</v>
      </c>
      <c r="G102" s="447">
        <f t="shared" si="20"/>
        <v>20527019.520000003</v>
      </c>
      <c r="H102" s="447">
        <f t="shared" si="20"/>
        <v>22477086.374400005</v>
      </c>
      <c r="I102" s="447">
        <f t="shared" si="20"/>
        <v>24837180.443712004</v>
      </c>
      <c r="J102" s="447">
        <f>SUM(E102:I102)</f>
        <v>104030214.338112</v>
      </c>
      <c r="K102" s="414"/>
      <c r="L102" s="414"/>
    </row>
    <row r="103" spans="1:12">
      <c r="A103" s="414" t="s">
        <v>135</v>
      </c>
      <c r="B103" s="507">
        <f>500000*1.13</f>
        <v>565000</v>
      </c>
      <c r="C103" s="547">
        <f>(B103*0.87)*0.665</f>
        <v>326880.75</v>
      </c>
      <c r="D103" s="429">
        <f>J103/5</f>
        <v>8127360.4951650007</v>
      </c>
      <c r="E103" s="447">
        <f>$B103*E111*12</f>
        <v>6780000</v>
      </c>
      <c r="F103" s="447">
        <f t="shared" si="20"/>
        <v>7356300</v>
      </c>
      <c r="G103" s="447">
        <f t="shared" si="20"/>
        <v>8018367.0000000009</v>
      </c>
      <c r="H103" s="447">
        <f t="shared" si="20"/>
        <v>8780111.8650000002</v>
      </c>
      <c r="I103" s="447">
        <f t="shared" si="20"/>
        <v>9702023.6108250003</v>
      </c>
      <c r="J103" s="447">
        <f t="shared" si="19"/>
        <v>40636802.475825004</v>
      </c>
      <c r="K103" s="414"/>
      <c r="L103" s="414"/>
    </row>
    <row r="104" spans="1:12">
      <c r="A104" s="544" t="s">
        <v>136</v>
      </c>
      <c r="B104" s="507">
        <f>1356000/3</f>
        <v>452000</v>
      </c>
      <c r="C104" s="547">
        <f>(B104*0.87)*0.665</f>
        <v>261504.6</v>
      </c>
      <c r="D104" s="429">
        <f t="shared" si="21"/>
        <v>13003776.792264</v>
      </c>
      <c r="E104" s="447">
        <f>$B104*E112*12</f>
        <v>10848000</v>
      </c>
      <c r="F104" s="447">
        <f t="shared" si="20"/>
        <v>11770080</v>
      </c>
      <c r="G104" s="447">
        <f t="shared" si="20"/>
        <v>12829387.200000001</v>
      </c>
      <c r="H104" s="447">
        <f t="shared" si="20"/>
        <v>14048178.984000001</v>
      </c>
      <c r="I104" s="447">
        <f t="shared" si="20"/>
        <v>15523237.777320001</v>
      </c>
      <c r="J104" s="447">
        <f t="shared" si="19"/>
        <v>65018883.961319998</v>
      </c>
      <c r="K104" s="414"/>
      <c r="L104" s="414"/>
    </row>
    <row r="105" spans="1:12">
      <c r="A105" s="414"/>
      <c r="B105" s="414"/>
      <c r="C105" s="414"/>
      <c r="D105" s="415"/>
      <c r="E105" s="414"/>
      <c r="F105" s="414"/>
      <c r="G105" s="414"/>
      <c r="H105" s="414"/>
      <c r="I105" s="414"/>
      <c r="J105" s="414"/>
      <c r="K105" s="414"/>
      <c r="L105" s="414"/>
    </row>
    <row r="106" spans="1:12">
      <c r="A106" s="444" t="s">
        <v>137</v>
      </c>
      <c r="B106" s="424" t="s">
        <v>73</v>
      </c>
      <c r="C106" s="424" t="s">
        <v>138</v>
      </c>
      <c r="D106" s="456">
        <f>J106/5</f>
        <v>0</v>
      </c>
      <c r="E106" s="414">
        <f>SUM(E107:E112)</f>
        <v>17</v>
      </c>
      <c r="F106" s="414">
        <f>SUM(F107:F112)</f>
        <v>18</v>
      </c>
      <c r="G106" s="414">
        <f>SUM(G107:G112)</f>
        <v>24</v>
      </c>
      <c r="H106" s="414">
        <f>SUM(H107:H112)</f>
        <v>25</v>
      </c>
      <c r="I106" s="414">
        <f>SUM(I107:I112)</f>
        <v>25</v>
      </c>
      <c r="J106" s="424"/>
      <c r="K106" s="424" t="s">
        <v>139</v>
      </c>
      <c r="L106" s="424" t="s">
        <v>73</v>
      </c>
    </row>
    <row r="107" spans="1:12">
      <c r="A107" s="505" t="s">
        <v>140</v>
      </c>
      <c r="B107" s="414"/>
      <c r="C107" s="414"/>
      <c r="D107" s="435"/>
      <c r="E107" s="505">
        <v>4</v>
      </c>
      <c r="F107" s="505">
        <v>4</v>
      </c>
      <c r="G107" s="505">
        <v>4</v>
      </c>
      <c r="H107" s="505">
        <v>4</v>
      </c>
      <c r="I107" s="505">
        <v>4</v>
      </c>
      <c r="J107" s="414"/>
      <c r="K107" s="414" t="s">
        <v>139</v>
      </c>
      <c r="L107" s="414"/>
    </row>
    <row r="108" spans="1:12">
      <c r="A108" s="505" t="s">
        <v>132</v>
      </c>
      <c r="B108" s="414"/>
      <c r="C108" s="414"/>
      <c r="D108" s="435"/>
      <c r="E108" s="505">
        <v>4</v>
      </c>
      <c r="F108" s="505">
        <v>4</v>
      </c>
      <c r="G108" s="505">
        <v>5</v>
      </c>
      <c r="H108" s="505">
        <v>5</v>
      </c>
      <c r="I108" s="505">
        <v>5</v>
      </c>
      <c r="J108" s="414"/>
      <c r="K108" s="414" t="s">
        <v>139</v>
      </c>
      <c r="L108" s="414"/>
    </row>
    <row r="109" spans="1:12">
      <c r="A109" s="506" t="s">
        <v>133</v>
      </c>
      <c r="B109" s="414"/>
      <c r="C109" s="414"/>
      <c r="D109" s="435"/>
      <c r="E109" s="505">
        <v>4</v>
      </c>
      <c r="F109" s="505">
        <v>5</v>
      </c>
      <c r="G109" s="505">
        <v>7</v>
      </c>
      <c r="H109" s="505">
        <v>8</v>
      </c>
      <c r="I109" s="505">
        <v>8</v>
      </c>
      <c r="J109" s="414"/>
      <c r="K109" s="414" t="s">
        <v>139</v>
      </c>
      <c r="L109" s="414"/>
    </row>
    <row r="110" spans="1:12">
      <c r="A110" s="505" t="s">
        <v>134</v>
      </c>
      <c r="B110" s="414"/>
      <c r="C110" s="414"/>
      <c r="D110" s="435"/>
      <c r="E110" s="506">
        <v>2</v>
      </c>
      <c r="F110" s="506">
        <v>2</v>
      </c>
      <c r="G110" s="506">
        <v>4</v>
      </c>
      <c r="H110" s="506">
        <v>4</v>
      </c>
      <c r="I110" s="506">
        <v>4</v>
      </c>
      <c r="J110" s="414"/>
      <c r="K110" s="414" t="s">
        <v>139</v>
      </c>
      <c r="L110" s="414"/>
    </row>
    <row r="111" spans="1:12">
      <c r="A111" s="505" t="s">
        <v>135</v>
      </c>
      <c r="B111" s="414"/>
      <c r="C111" s="414"/>
      <c r="D111" s="435"/>
      <c r="E111" s="505">
        <v>1</v>
      </c>
      <c r="F111" s="505">
        <v>1</v>
      </c>
      <c r="G111" s="505">
        <v>1</v>
      </c>
      <c r="H111" s="505">
        <v>1</v>
      </c>
      <c r="I111" s="505">
        <v>1</v>
      </c>
      <c r="J111" s="414"/>
      <c r="K111" s="414" t="s">
        <v>139</v>
      </c>
      <c r="L111" s="414"/>
    </row>
    <row r="112" spans="1:12">
      <c r="A112" s="505" t="s">
        <v>136</v>
      </c>
      <c r="B112" s="414"/>
      <c r="C112" s="414"/>
      <c r="D112" s="435"/>
      <c r="E112" s="505">
        <v>2</v>
      </c>
      <c r="F112" s="505">
        <v>2</v>
      </c>
      <c r="G112" s="505">
        <v>3</v>
      </c>
      <c r="H112" s="505">
        <v>3</v>
      </c>
      <c r="I112" s="505">
        <v>3</v>
      </c>
      <c r="J112" s="414"/>
      <c r="K112" s="414" t="s">
        <v>139</v>
      </c>
      <c r="L112" s="414"/>
    </row>
    <row r="113" spans="1:12">
      <c r="A113" s="414"/>
      <c r="B113" s="414"/>
      <c r="C113" s="414"/>
      <c r="D113" s="429"/>
      <c r="E113" s="414"/>
      <c r="F113" s="414"/>
      <c r="G113" s="414"/>
      <c r="H113" s="414"/>
      <c r="I113" s="414"/>
      <c r="J113" s="414"/>
      <c r="K113" s="414"/>
      <c r="L113" s="414"/>
    </row>
    <row r="114" spans="1:12">
      <c r="A114" s="444" t="s">
        <v>141</v>
      </c>
      <c r="B114" s="424" t="s">
        <v>73</v>
      </c>
      <c r="C114" s="424" t="s">
        <v>78</v>
      </c>
      <c r="D114" s="445">
        <f>J114/5</f>
        <v>39279758.881851241</v>
      </c>
      <c r="E114" s="447">
        <f>SUM(E115:E120)</f>
        <v>36987385.759637184</v>
      </c>
      <c r="F114" s="447">
        <f>SUM(F115:F120)</f>
        <v>38836755.047619045</v>
      </c>
      <c r="G114" s="447">
        <f>SUM(G115:G120)</f>
        <v>38247312.799999997</v>
      </c>
      <c r="H114" s="447">
        <f>SUM(H115:H120)</f>
        <v>40159678.439999998</v>
      </c>
      <c r="I114" s="447">
        <f>SUM(I115:I120)</f>
        <v>42167662.362000003</v>
      </c>
      <c r="J114" s="446">
        <f>SUM(E114:I114)</f>
        <v>196398794.40925622</v>
      </c>
      <c r="K114" s="424"/>
      <c r="L114" s="424" t="s">
        <v>73</v>
      </c>
    </row>
    <row r="115" spans="1:12">
      <c r="A115" s="505" t="s">
        <v>142</v>
      </c>
      <c r="B115" s="510">
        <v>12</v>
      </c>
      <c r="C115" s="414" t="s">
        <v>78</v>
      </c>
      <c r="D115" s="429">
        <f>AVERAGE(E115:I115)</f>
        <v>14434302.040816326</v>
      </c>
      <c r="E115" s="507">
        <f>F115/1.05</f>
        <v>13061224.489795918</v>
      </c>
      <c r="F115" s="507">
        <f>G115/1.05</f>
        <v>13714285.714285715</v>
      </c>
      <c r="G115" s="507">
        <f>1200000*B115</f>
        <v>14400000</v>
      </c>
      <c r="H115" s="507">
        <f>G115*1.05</f>
        <v>15120000</v>
      </c>
      <c r="I115" s="507">
        <f>H115*1.05</f>
        <v>15876000</v>
      </c>
      <c r="J115" s="447">
        <f>SUM(E115:I115)</f>
        <v>72171510.204081625</v>
      </c>
      <c r="K115" s="414"/>
      <c r="L115" s="414"/>
    </row>
    <row r="116" spans="1:12">
      <c r="A116" s="505" t="s">
        <v>143</v>
      </c>
      <c r="B116" s="510" t="s">
        <v>144</v>
      </c>
      <c r="C116" s="414" t="s">
        <v>78</v>
      </c>
      <c r="D116" s="429">
        <f t="shared" ref="D116:D120" si="22">AVERAGE(E116:I116)</f>
        <v>2059587.1631292515</v>
      </c>
      <c r="E116" s="507">
        <f t="shared" ref="E116:E120" si="23">F116/1.05</f>
        <v>825360.54421768698</v>
      </c>
      <c r="F116" s="507">
        <f>G116/1.05/3</f>
        <v>866628.57142857136</v>
      </c>
      <c r="G116" s="507">
        <f>909960*3</f>
        <v>2729880</v>
      </c>
      <c r="H116" s="507">
        <f>G116*1.05</f>
        <v>2866374</v>
      </c>
      <c r="I116" s="507">
        <f t="shared" ref="I116" si="24">H116*1.05</f>
        <v>3009692.7</v>
      </c>
      <c r="J116" s="447">
        <f t="shared" ref="J116:J120" si="25">SUM(E116:I116)</f>
        <v>10297935.815646257</v>
      </c>
      <c r="K116" s="414"/>
      <c r="L116" s="414"/>
    </row>
    <row r="117" spans="1:12">
      <c r="A117" s="505" t="s">
        <v>145</v>
      </c>
      <c r="B117" s="510" t="s">
        <v>146</v>
      </c>
      <c r="C117" s="414" t="s">
        <v>78</v>
      </c>
      <c r="D117" s="429">
        <f t="shared" si="22"/>
        <v>1618133.3333333333</v>
      </c>
      <c r="E117" s="507">
        <f t="shared" si="23"/>
        <v>3946666.6666666665</v>
      </c>
      <c r="F117" s="507">
        <f>2175600*2/1.05</f>
        <v>4144000</v>
      </c>
      <c r="G117" s="507">
        <v>0</v>
      </c>
      <c r="H117" s="507">
        <v>0</v>
      </c>
      <c r="I117" s="507">
        <v>0</v>
      </c>
      <c r="J117" s="447">
        <f t="shared" si="25"/>
        <v>8090666.666666666</v>
      </c>
      <c r="K117" s="414"/>
      <c r="L117" s="414"/>
    </row>
    <row r="118" spans="1:12">
      <c r="A118" s="505" t="s">
        <v>136</v>
      </c>
      <c r="B118" s="510">
        <v>1</v>
      </c>
      <c r="C118" s="414" t="s">
        <v>78</v>
      </c>
      <c r="D118" s="429">
        <f t="shared" si="22"/>
        <v>5923968.6691278908</v>
      </c>
      <c r="E118" s="507">
        <f t="shared" si="23"/>
        <v>5360445.1700680265</v>
      </c>
      <c r="F118" s="507">
        <f t="shared" ref="F118:F120" si="26">G118/1.05</f>
        <v>5628467.4285714282</v>
      </c>
      <c r="G118" s="507">
        <v>5909890.7999999998</v>
      </c>
      <c r="H118" s="507">
        <f t="shared" ref="H118:I118" si="27">G118*1.05</f>
        <v>6205385.3399999999</v>
      </c>
      <c r="I118" s="507">
        <f t="shared" si="27"/>
        <v>6515654.6069999998</v>
      </c>
      <c r="J118" s="447">
        <f t="shared" si="25"/>
        <v>29619843.345639456</v>
      </c>
      <c r="K118" s="414"/>
      <c r="L118" s="414"/>
    </row>
    <row r="119" spans="1:12">
      <c r="A119" s="505" t="s">
        <v>132</v>
      </c>
      <c r="B119" s="510">
        <v>2</v>
      </c>
      <c r="C119" s="414" t="s">
        <v>78</v>
      </c>
      <c r="D119" s="429">
        <f t="shared" si="22"/>
        <v>13740194.546192745</v>
      </c>
      <c r="E119" s="507">
        <f t="shared" si="23"/>
        <v>12433144.671201814</v>
      </c>
      <c r="F119" s="507">
        <f t="shared" si="26"/>
        <v>13054801.904761905</v>
      </c>
      <c r="G119" s="507">
        <f>6853771*2</f>
        <v>13707542</v>
      </c>
      <c r="H119" s="507">
        <f t="shared" ref="H119" si="28">G119*1.05</f>
        <v>14392919.100000001</v>
      </c>
      <c r="I119" s="507">
        <f>H119*1.05</f>
        <v>15112565.055000002</v>
      </c>
      <c r="J119" s="447">
        <f t="shared" si="25"/>
        <v>68700972.730963722</v>
      </c>
      <c r="K119" s="414"/>
      <c r="L119" s="414"/>
    </row>
    <row r="120" spans="1:12">
      <c r="A120" s="505" t="s">
        <v>135</v>
      </c>
      <c r="B120" s="510">
        <v>1</v>
      </c>
      <c r="C120" s="414" t="s">
        <v>78</v>
      </c>
      <c r="D120" s="429">
        <f t="shared" si="22"/>
        <v>1503573.1292517006</v>
      </c>
      <c r="E120" s="507">
        <f t="shared" si="23"/>
        <v>1360544.2176870746</v>
      </c>
      <c r="F120" s="507">
        <f t="shared" si="26"/>
        <v>1428571.4285714284</v>
      </c>
      <c r="G120" s="507">
        <v>1500000</v>
      </c>
      <c r="H120" s="507">
        <f t="shared" ref="H120:I120" si="29">G120*1.05</f>
        <v>1575000</v>
      </c>
      <c r="I120" s="507">
        <f t="shared" si="29"/>
        <v>1653750</v>
      </c>
      <c r="J120" s="447">
        <f t="shared" si="25"/>
        <v>7517865.6462585032</v>
      </c>
      <c r="K120" s="414"/>
      <c r="L120" s="414"/>
    </row>
    <row r="121" spans="1:12">
      <c r="A121" s="414"/>
      <c r="B121" s="414"/>
      <c r="C121" s="447"/>
      <c r="D121" s="726"/>
      <c r="E121" s="414"/>
      <c r="F121" s="414"/>
      <c r="G121" s="414"/>
      <c r="H121" s="414"/>
      <c r="I121" s="414"/>
      <c r="J121" s="414"/>
      <c r="K121" s="414"/>
      <c r="L121" s="414"/>
    </row>
    <row r="122" spans="1:12">
      <c r="A122" s="414"/>
      <c r="B122" s="414"/>
      <c r="C122" s="414"/>
      <c r="D122" s="415"/>
      <c r="E122" s="414"/>
      <c r="F122" s="414"/>
      <c r="G122" s="414"/>
      <c r="H122" s="414"/>
      <c r="I122" s="414"/>
      <c r="J122" s="414"/>
      <c r="K122" s="414"/>
      <c r="L122" s="414"/>
    </row>
    <row r="123" spans="1:12">
      <c r="A123" s="444" t="s">
        <v>147</v>
      </c>
      <c r="B123" s="424" t="s">
        <v>73</v>
      </c>
      <c r="C123" s="424" t="s">
        <v>78</v>
      </c>
      <c r="D123" s="445">
        <f>AVERAGE(E123:I123)</f>
        <v>10765583.605442178</v>
      </c>
      <c r="E123" s="447">
        <f>SUM(E124:E127)</f>
        <v>9741496.5986394547</v>
      </c>
      <c r="F123" s="447">
        <f>SUM(F124:F127)</f>
        <v>10228571.428571429</v>
      </c>
      <c r="G123" s="447">
        <f>SUM(G124:G127)</f>
        <v>10740000</v>
      </c>
      <c r="H123" s="447">
        <f>SUM(H124:H127)</f>
        <v>11277000</v>
      </c>
      <c r="I123" s="447">
        <f>SUM(I124:I127)</f>
        <v>11840850</v>
      </c>
      <c r="J123" s="446">
        <f>SUM(E123:I123)</f>
        <v>53827918.027210884</v>
      </c>
      <c r="K123" s="424"/>
      <c r="L123" s="424" t="s">
        <v>73</v>
      </c>
    </row>
    <row r="124" spans="1:12">
      <c r="A124" s="505" t="s">
        <v>148</v>
      </c>
      <c r="B124" s="414">
        <v>5100</v>
      </c>
      <c r="C124" s="414" t="s">
        <v>78</v>
      </c>
      <c r="D124" s="429">
        <f>AVERAGE(E124:I124)</f>
        <v>5112148.6394557822</v>
      </c>
      <c r="E124" s="507">
        <f t="shared" ref="E124" si="30">F124/1.05</f>
        <v>4625850.340136054</v>
      </c>
      <c r="F124" s="507">
        <f>G124/1.05</f>
        <v>4857142.8571428573</v>
      </c>
      <c r="G124" s="507">
        <v>5100000</v>
      </c>
      <c r="H124" s="507">
        <f>G124*1.05</f>
        <v>5355000</v>
      </c>
      <c r="I124" s="507">
        <f>H124*1.05</f>
        <v>5622750</v>
      </c>
      <c r="J124" s="447">
        <f>SUM(E124:I124)</f>
        <v>25560743.197278909</v>
      </c>
      <c r="K124" s="414"/>
      <c r="L124" s="414"/>
    </row>
    <row r="125" spans="1:12">
      <c r="A125" s="505" t="s">
        <v>149</v>
      </c>
      <c r="B125" s="414">
        <v>3000</v>
      </c>
      <c r="C125" s="414" t="s">
        <v>78</v>
      </c>
      <c r="D125" s="429">
        <f t="shared" ref="D125:D127" si="31">AVERAGE(E125:I125)</f>
        <v>3007146.2585034012</v>
      </c>
      <c r="E125" s="507">
        <f t="shared" ref="E125:F127" si="32">F125/1.05</f>
        <v>2721088.4353741491</v>
      </c>
      <c r="F125" s="507">
        <f t="shared" si="32"/>
        <v>2857142.8571428568</v>
      </c>
      <c r="G125" s="507">
        <v>3000000</v>
      </c>
      <c r="H125" s="507">
        <f>G125*1.05</f>
        <v>3150000</v>
      </c>
      <c r="I125" s="507">
        <f>H125*1.05</f>
        <v>3307500</v>
      </c>
      <c r="J125" s="447">
        <f t="shared" ref="J125:J127" si="33">SUM(E125:I125)</f>
        <v>15035731.292517006</v>
      </c>
      <c r="K125" s="414"/>
      <c r="L125" s="414"/>
    </row>
    <row r="126" spans="1:12">
      <c r="A126" s="506" t="s">
        <v>150</v>
      </c>
      <c r="B126" s="414">
        <v>1800</v>
      </c>
      <c r="C126" s="414" t="s">
        <v>78</v>
      </c>
      <c r="D126" s="429">
        <f t="shared" si="31"/>
        <v>1804287.7551020407</v>
      </c>
      <c r="E126" s="507">
        <f t="shared" si="32"/>
        <v>1632653.0612244897</v>
      </c>
      <c r="F126" s="507">
        <f t="shared" si="32"/>
        <v>1714285.7142857143</v>
      </c>
      <c r="G126" s="507">
        <v>1800000</v>
      </c>
      <c r="H126" s="507">
        <f t="shared" ref="H126:I126" si="34">G126*1.05</f>
        <v>1890000</v>
      </c>
      <c r="I126" s="507">
        <f t="shared" si="34"/>
        <v>1984500</v>
      </c>
      <c r="J126" s="447">
        <f t="shared" si="33"/>
        <v>9021438.7755102031</v>
      </c>
      <c r="K126" s="414"/>
      <c r="L126" s="414"/>
    </row>
    <row r="127" spans="1:12">
      <c r="A127" s="505" t="s">
        <v>151</v>
      </c>
      <c r="B127" s="414">
        <v>840</v>
      </c>
      <c r="C127" s="414" t="s">
        <v>78</v>
      </c>
      <c r="D127" s="429">
        <f t="shared" si="31"/>
        <v>842000.95238095243</v>
      </c>
      <c r="E127" s="507">
        <f t="shared" si="32"/>
        <v>761904.76190476189</v>
      </c>
      <c r="F127" s="507">
        <f t="shared" si="32"/>
        <v>800000</v>
      </c>
      <c r="G127" s="507">
        <v>840000</v>
      </c>
      <c r="H127" s="507">
        <f>G127*1.05</f>
        <v>882000</v>
      </c>
      <c r="I127" s="507">
        <f>H127*1.05</f>
        <v>926100</v>
      </c>
      <c r="J127" s="447">
        <f t="shared" si="33"/>
        <v>4210004.7619047621</v>
      </c>
      <c r="K127" s="414"/>
      <c r="L127" s="414"/>
    </row>
    <row r="129" spans="1:12">
      <c r="A129" s="457" t="s">
        <v>152</v>
      </c>
      <c r="B129" s="457" t="s">
        <v>73</v>
      </c>
      <c r="C129" s="457" t="s">
        <v>78</v>
      </c>
      <c r="D129" s="458">
        <f>J129/5</f>
        <v>174084505.88716561</v>
      </c>
      <c r="E129" s="459">
        <f>E3-E63-E95</f>
        <v>81305117.641723365</v>
      </c>
      <c r="F129" s="459">
        <f>F3-F63-F95</f>
        <v>33013653.523809522</v>
      </c>
      <c r="G129" s="459">
        <f>G3-G63-G95</f>
        <v>238973835.40000001</v>
      </c>
      <c r="H129" s="459">
        <f>H3-H63-H95</f>
        <v>258933598.83900002</v>
      </c>
      <c r="I129" s="459">
        <f>I3-I63-I95</f>
        <v>258196324.031295</v>
      </c>
      <c r="J129" s="460">
        <f>SUM(E129:I129)</f>
        <v>870422529.43582797</v>
      </c>
      <c r="K129" s="457"/>
      <c r="L129" s="457" t="s">
        <v>73</v>
      </c>
    </row>
    <row r="130" spans="1:12">
      <c r="A130" s="414"/>
      <c r="B130" s="414"/>
      <c r="C130" s="414"/>
      <c r="D130" s="421"/>
      <c r="E130" s="422"/>
      <c r="F130" s="422"/>
      <c r="G130" s="422"/>
      <c r="H130" s="422"/>
      <c r="I130" s="422"/>
      <c r="J130" s="422"/>
      <c r="K130" s="414"/>
      <c r="L130" s="414"/>
    </row>
    <row r="131" spans="1:12">
      <c r="A131" s="414"/>
      <c r="B131" s="414"/>
      <c r="C131" s="414"/>
      <c r="D131" s="421"/>
      <c r="E131" s="422"/>
      <c r="F131" s="422"/>
      <c r="G131" s="422"/>
      <c r="H131" s="422"/>
      <c r="I131" s="422"/>
      <c r="J131" s="422"/>
      <c r="K131" s="414"/>
      <c r="L131" s="414"/>
    </row>
    <row r="132" spans="1:12">
      <c r="A132" s="414"/>
      <c r="B132" s="414"/>
      <c r="C132" s="414"/>
      <c r="D132" s="421"/>
      <c r="E132" s="422"/>
      <c r="F132" s="422"/>
      <c r="G132" s="422"/>
      <c r="H132" s="422"/>
      <c r="I132" s="422"/>
      <c r="J132" s="422"/>
      <c r="K132" s="414"/>
      <c r="L132" s="414"/>
    </row>
    <row r="133" spans="1:12">
      <c r="A133" s="414"/>
      <c r="B133" s="414"/>
      <c r="C133" s="414"/>
      <c r="D133" s="421"/>
      <c r="E133" s="422"/>
      <c r="F133" s="422"/>
      <c r="G133" s="422"/>
      <c r="H133" s="422"/>
      <c r="I133" s="422"/>
      <c r="J133" s="422"/>
      <c r="K133" s="414"/>
      <c r="L133" s="414"/>
    </row>
    <row r="134" spans="1:12">
      <c r="A134" s="461" t="s">
        <v>153</v>
      </c>
      <c r="B134" s="461" t="s">
        <v>73</v>
      </c>
      <c r="C134" s="461" t="s">
        <v>78</v>
      </c>
      <c r="D134" s="462">
        <f>J134/5</f>
        <v>114325040</v>
      </c>
      <c r="E134" s="463">
        <f>E136</f>
        <v>48000000</v>
      </c>
      <c r="F134" s="463">
        <f>F136</f>
        <v>184312600</v>
      </c>
      <c r="G134" s="463">
        <f>G136</f>
        <v>339312600</v>
      </c>
      <c r="H134" s="463">
        <f t="shared" ref="H134:J134" si="35">H136</f>
        <v>0</v>
      </c>
      <c r="I134" s="463">
        <f t="shared" si="35"/>
        <v>0</v>
      </c>
      <c r="J134" s="464">
        <f t="shared" si="35"/>
        <v>571625200</v>
      </c>
      <c r="K134" s="461"/>
      <c r="L134" s="431" t="s">
        <v>73</v>
      </c>
    </row>
    <row r="135" spans="1:12">
      <c r="A135" s="414"/>
      <c r="B135" s="414"/>
      <c r="C135" s="414"/>
      <c r="D135" s="421"/>
      <c r="E135" s="422"/>
      <c r="F135" s="422"/>
      <c r="G135" s="422"/>
      <c r="H135" s="422"/>
      <c r="I135" s="422"/>
      <c r="J135" s="422"/>
      <c r="K135" s="422"/>
      <c r="L135" s="414"/>
    </row>
    <row r="136" spans="1:12">
      <c r="A136" s="444" t="s">
        <v>154</v>
      </c>
      <c r="B136" s="424" t="s">
        <v>73</v>
      </c>
      <c r="C136" s="424" t="s">
        <v>78</v>
      </c>
      <c r="D136" s="445">
        <f>J136/5</f>
        <v>114325040</v>
      </c>
      <c r="E136" s="447">
        <f t="shared" ref="E136:F136" si="36">SUM(E137:E143)</f>
        <v>48000000</v>
      </c>
      <c r="F136" s="447">
        <f t="shared" si="36"/>
        <v>184312600</v>
      </c>
      <c r="G136" s="447">
        <f>SUM(G137:G143)</f>
        <v>339312600</v>
      </c>
      <c r="H136" s="447">
        <f t="shared" ref="H136:I136" si="37">SUM(H137:H143)</f>
        <v>0</v>
      </c>
      <c r="I136" s="447">
        <f t="shared" si="37"/>
        <v>0</v>
      </c>
      <c r="J136" s="446">
        <f>SUM(E136:I136)</f>
        <v>571625200</v>
      </c>
      <c r="K136" s="424"/>
      <c r="L136" s="424" t="s">
        <v>73</v>
      </c>
    </row>
    <row r="137" spans="1:12">
      <c r="A137" s="505" t="s">
        <v>155</v>
      </c>
      <c r="B137" s="414"/>
      <c r="C137" s="414"/>
      <c r="D137" s="429"/>
      <c r="E137" s="507"/>
      <c r="F137" s="507">
        <v>129000000</v>
      </c>
      <c r="G137" s="507"/>
      <c r="H137" s="507"/>
      <c r="I137" s="507"/>
      <c r="J137" s="447"/>
      <c r="K137" s="414"/>
      <c r="L137" s="414"/>
    </row>
    <row r="138" spans="1:12">
      <c r="A138" s="506" t="s">
        <v>156</v>
      </c>
      <c r="B138" s="414"/>
      <c r="C138" s="414"/>
      <c r="D138" s="429"/>
      <c r="E138" s="628"/>
      <c r="F138" s="628"/>
      <c r="G138" s="628"/>
      <c r="H138" s="628"/>
      <c r="I138" s="628"/>
      <c r="J138" s="447"/>
      <c r="K138" s="414"/>
      <c r="L138" s="414"/>
    </row>
    <row r="139" spans="1:12">
      <c r="A139" s="626" t="s">
        <v>157</v>
      </c>
      <c r="B139">
        <v>3</v>
      </c>
      <c r="C139">
        <v>18000000</v>
      </c>
      <c r="D139" s="429"/>
      <c r="E139" s="507">
        <f>C139</f>
        <v>18000000</v>
      </c>
      <c r="F139" s="507">
        <f>C139</f>
        <v>18000000</v>
      </c>
      <c r="G139" s="507">
        <f>C139</f>
        <v>18000000</v>
      </c>
      <c r="H139" s="507"/>
      <c r="I139" s="507"/>
      <c r="J139" s="447"/>
      <c r="K139" s="414"/>
      <c r="L139" s="414"/>
    </row>
    <row r="140" spans="1:12">
      <c r="A140" s="627" t="s">
        <v>158</v>
      </c>
      <c r="B140">
        <v>4</v>
      </c>
      <c r="C140">
        <v>18656300</v>
      </c>
      <c r="D140" s="429"/>
      <c r="E140" s="507"/>
      <c r="F140" s="507">
        <f>C140*2</f>
        <v>37312600</v>
      </c>
      <c r="G140" s="507">
        <f>C140*2</f>
        <v>37312600</v>
      </c>
      <c r="H140" s="507"/>
      <c r="I140" s="507"/>
      <c r="J140" s="447"/>
      <c r="K140" s="414"/>
      <c r="L140" s="414"/>
    </row>
    <row r="141" spans="1:12">
      <c r="A141" s="626" t="s">
        <v>159</v>
      </c>
      <c r="B141">
        <v>2</v>
      </c>
      <c r="C141">
        <v>120000000</v>
      </c>
      <c r="D141" s="429"/>
      <c r="E141" s="507"/>
      <c r="F141" s="507"/>
      <c r="G141" s="507">
        <f>C141*2</f>
        <v>240000000</v>
      </c>
      <c r="H141" s="507"/>
      <c r="I141" s="507"/>
      <c r="J141" s="447"/>
      <c r="K141" s="414"/>
      <c r="L141" s="414"/>
    </row>
    <row r="142" spans="1:12">
      <c r="A142" s="626" t="s">
        <v>160</v>
      </c>
      <c r="B142">
        <v>2</v>
      </c>
      <c r="C142">
        <v>22000000</v>
      </c>
      <c r="D142" s="429"/>
      <c r="E142" s="507"/>
      <c r="F142" s="507"/>
      <c r="G142" s="507">
        <f>C142*2</f>
        <v>44000000</v>
      </c>
      <c r="H142" s="507"/>
      <c r="I142" s="507"/>
      <c r="J142" s="447"/>
      <c r="K142" s="414"/>
      <c r="L142" s="414"/>
    </row>
    <row r="143" spans="1:12">
      <c r="A143" s="626" t="s">
        <v>161</v>
      </c>
      <c r="B143">
        <v>1</v>
      </c>
      <c r="C143">
        <v>30000000</v>
      </c>
      <c r="D143" s="429"/>
      <c r="E143" s="507">
        <f>C143</f>
        <v>30000000</v>
      </c>
      <c r="F143" s="507"/>
      <c r="G143" s="507"/>
      <c r="H143" s="507"/>
      <c r="I143" s="507"/>
      <c r="J143" s="447"/>
      <c r="K143" s="414"/>
      <c r="L143" s="414"/>
    </row>
    <row r="144" spans="1:12">
      <c r="A144" s="414"/>
      <c r="B144" s="414"/>
      <c r="C144" s="414"/>
      <c r="D144" s="421"/>
      <c r="E144" s="422"/>
      <c r="F144" s="422"/>
      <c r="G144" s="422"/>
      <c r="H144" s="422"/>
      <c r="I144" s="422"/>
      <c r="J144" s="422"/>
      <c r="K144" s="422"/>
      <c r="L144" s="414"/>
    </row>
    <row r="145" spans="1:12">
      <c r="A145" s="414"/>
      <c r="B145" s="414"/>
      <c r="C145" s="414"/>
      <c r="D145" s="421"/>
      <c r="E145" s="422"/>
      <c r="F145" s="422"/>
      <c r="G145" s="422"/>
      <c r="H145" s="422"/>
      <c r="I145" s="422" t="s">
        <v>162</v>
      </c>
      <c r="J145" s="422"/>
      <c r="K145" s="422"/>
      <c r="L145" s="414"/>
    </row>
    <row r="146" spans="1:12">
      <c r="A146" s="431" t="s">
        <v>163</v>
      </c>
      <c r="B146" s="431" t="s">
        <v>73</v>
      </c>
      <c r="C146" s="431" t="s">
        <v>78</v>
      </c>
      <c r="D146" s="440">
        <f>J146/5</f>
        <v>47204233.600000001</v>
      </c>
      <c r="E146" s="441">
        <f>E149</f>
        <v>21243552</v>
      </c>
      <c r="F146" s="441">
        <f t="shared" ref="F146:J146" si="38">F149</f>
        <v>32195168</v>
      </c>
      <c r="G146" s="441">
        <f>G149</f>
        <v>60860816</v>
      </c>
      <c r="H146" s="441">
        <f t="shared" si="38"/>
        <v>60860816</v>
      </c>
      <c r="I146" s="441">
        <f t="shared" si="38"/>
        <v>60860816</v>
      </c>
      <c r="J146" s="442">
        <f t="shared" si="38"/>
        <v>236021168</v>
      </c>
      <c r="K146" s="431"/>
      <c r="L146" s="431" t="s">
        <v>73</v>
      </c>
    </row>
    <row r="147" spans="1:12">
      <c r="A147" s="414"/>
      <c r="B147" s="414"/>
      <c r="C147" s="414"/>
      <c r="D147" s="421"/>
      <c r="E147" s="422"/>
      <c r="F147" s="422"/>
      <c r="G147" s="422"/>
      <c r="H147" s="422"/>
      <c r="I147" s="422"/>
      <c r="J147" s="422"/>
      <c r="K147" s="422"/>
      <c r="L147" s="414"/>
    </row>
    <row r="148" spans="1:12">
      <c r="A148" s="414"/>
      <c r="B148" s="414"/>
      <c r="C148" s="414"/>
      <c r="D148" s="421"/>
      <c r="E148" s="422"/>
      <c r="F148" s="422"/>
      <c r="G148" s="422"/>
      <c r="H148" s="422"/>
      <c r="I148" s="422"/>
      <c r="J148" s="422"/>
      <c r="K148" s="422"/>
      <c r="L148" s="414"/>
    </row>
    <row r="149" spans="1:12">
      <c r="A149" s="424" t="s">
        <v>164</v>
      </c>
      <c r="B149" s="424" t="s">
        <v>73</v>
      </c>
      <c r="C149" s="424" t="s">
        <v>78</v>
      </c>
      <c r="D149" s="445"/>
      <c r="E149" s="447">
        <f>SUM(E150:E156)</f>
        <v>21243552</v>
      </c>
      <c r="F149" s="447">
        <f>SUM(F150:F156)</f>
        <v>32195168</v>
      </c>
      <c r="G149" s="447">
        <f>SUM(G150:G156)</f>
        <v>60860816</v>
      </c>
      <c r="H149" s="447">
        <f>SUM(H150:H156)</f>
        <v>60860816</v>
      </c>
      <c r="I149" s="447">
        <f>SUM(I150:I156)</f>
        <v>60860816</v>
      </c>
      <c r="J149" s="446">
        <f>SUM(E149:I149)</f>
        <v>236021168</v>
      </c>
      <c r="K149" s="424"/>
      <c r="L149" s="424" t="s">
        <v>73</v>
      </c>
    </row>
    <row r="150" spans="1:12">
      <c r="A150" s="414" t="s">
        <v>165</v>
      </c>
      <c r="B150" s="414"/>
      <c r="C150" s="414" t="s">
        <v>78</v>
      </c>
      <c r="D150" s="429">
        <f>J150/5</f>
        <v>1565222.4</v>
      </c>
      <c r="E150" s="507">
        <f>F150*0.95</f>
        <v>1455552</v>
      </c>
      <c r="F150" s="507">
        <f>G150*0.95</f>
        <v>1532160</v>
      </c>
      <c r="G150" s="507">
        <v>1612800</v>
      </c>
      <c r="H150" s="507">
        <v>1612800</v>
      </c>
      <c r="I150" s="507">
        <v>1612800</v>
      </c>
      <c r="J150" s="447">
        <f>SUM(E150:I150)</f>
        <v>7826112</v>
      </c>
      <c r="K150" s="414"/>
      <c r="L150" s="414"/>
    </row>
    <row r="151" spans="1:12">
      <c r="A151" s="414" t="s">
        <v>166</v>
      </c>
      <c r="B151" s="414"/>
      <c r="C151" s="414"/>
      <c r="D151" s="429">
        <f t="shared" ref="D151:D156" si="39">J151/5</f>
        <v>4378000</v>
      </c>
      <c r="E151" s="507">
        <v>4378000</v>
      </c>
      <c r="F151" s="507">
        <v>4378000</v>
      </c>
      <c r="G151" s="507">
        <v>4378000</v>
      </c>
      <c r="H151" s="507">
        <v>4378000</v>
      </c>
      <c r="I151" s="507">
        <v>4378000</v>
      </c>
      <c r="J151" s="447">
        <f t="shared" ref="J151:J156" si="40">SUM(E151:I151)</f>
        <v>21890000</v>
      </c>
      <c r="K151" s="422"/>
      <c r="L151" s="414"/>
    </row>
    <row r="152" spans="1:12">
      <c r="A152" s="414" t="s">
        <v>167</v>
      </c>
      <c r="B152" s="414"/>
      <c r="C152" s="414"/>
      <c r="D152" s="429">
        <f t="shared" si="39"/>
        <v>5160000</v>
      </c>
      <c r="E152" s="507">
        <v>5160000</v>
      </c>
      <c r="F152" s="507">
        <v>5160000</v>
      </c>
      <c r="G152" s="507">
        <v>5160000</v>
      </c>
      <c r="H152" s="507">
        <v>5160000</v>
      </c>
      <c r="I152" s="507">
        <v>5160000</v>
      </c>
      <c r="J152" s="447">
        <f t="shared" si="40"/>
        <v>25800000</v>
      </c>
      <c r="K152" s="422"/>
      <c r="L152" s="414"/>
    </row>
    <row r="153" spans="1:12">
      <c r="A153" s="414" t="s">
        <v>168</v>
      </c>
      <c r="B153" s="414"/>
      <c r="C153" s="414"/>
      <c r="D153" s="429">
        <f t="shared" si="39"/>
        <v>5160000</v>
      </c>
      <c r="E153" s="507"/>
      <c r="F153" s="507">
        <v>6450000</v>
      </c>
      <c r="G153" s="507">
        <v>6450000</v>
      </c>
      <c r="H153" s="507">
        <v>6450000</v>
      </c>
      <c r="I153" s="507">
        <v>6450000</v>
      </c>
      <c r="J153" s="447">
        <f t="shared" si="40"/>
        <v>25800000</v>
      </c>
      <c r="K153" s="422"/>
      <c r="L153" s="414"/>
    </row>
    <row r="154" spans="1:12">
      <c r="A154" s="414" t="s">
        <v>169</v>
      </c>
      <c r="B154" s="414"/>
      <c r="C154" s="414"/>
      <c r="D154" s="429">
        <f t="shared" si="39"/>
        <v>23667011.199999999</v>
      </c>
      <c r="E154" s="507">
        <v>3840000</v>
      </c>
      <c r="F154" s="507">
        <v>8265008</v>
      </c>
      <c r="G154" s="507">
        <v>35410016</v>
      </c>
      <c r="H154" s="507">
        <v>35410016</v>
      </c>
      <c r="I154" s="507">
        <v>35410016</v>
      </c>
      <c r="J154" s="447">
        <f t="shared" si="40"/>
        <v>118335056</v>
      </c>
      <c r="K154" s="422"/>
      <c r="L154" s="414"/>
    </row>
    <row r="155" spans="1:12">
      <c r="A155" s="414" t="s">
        <v>170</v>
      </c>
      <c r="B155" s="414"/>
      <c r="C155" s="414"/>
      <c r="D155" s="429">
        <f t="shared" si="39"/>
        <v>2250000</v>
      </c>
      <c r="E155" s="531">
        <v>2250000</v>
      </c>
      <c r="F155" s="507">
        <v>2250000</v>
      </c>
      <c r="G155" s="507">
        <v>2250000</v>
      </c>
      <c r="H155" s="507">
        <v>2250000</v>
      </c>
      <c r="I155" s="507">
        <v>2250000</v>
      </c>
      <c r="J155" s="447">
        <f t="shared" si="40"/>
        <v>11250000</v>
      </c>
      <c r="K155" s="422"/>
      <c r="L155" s="414"/>
    </row>
    <row r="156" spans="1:12">
      <c r="A156" s="414" t="s">
        <v>171</v>
      </c>
      <c r="B156" s="414"/>
      <c r="C156" s="414"/>
      <c r="D156" s="429">
        <f t="shared" si="39"/>
        <v>5024000</v>
      </c>
      <c r="E156" s="531">
        <v>4160000</v>
      </c>
      <c r="F156" s="507">
        <v>4160000</v>
      </c>
      <c r="G156" s="507">
        <v>5600000</v>
      </c>
      <c r="H156" s="507">
        <v>5600000</v>
      </c>
      <c r="I156" s="507">
        <v>5600000</v>
      </c>
      <c r="J156" s="447">
        <f t="shared" si="40"/>
        <v>25120000</v>
      </c>
      <c r="K156" s="422"/>
      <c r="L156" s="414"/>
    </row>
    <row r="157" spans="1:12">
      <c r="A157" s="414"/>
      <c r="B157" s="414"/>
      <c r="C157" s="414"/>
      <c r="D157" s="421"/>
      <c r="E157" s="547"/>
      <c r="F157" s="447"/>
      <c r="G157" s="447"/>
      <c r="H157" s="447"/>
      <c r="I157" s="447"/>
      <c r="J157" s="422"/>
      <c r="K157" s="422"/>
      <c r="L157" s="414"/>
    </row>
    <row r="158" spans="1:12">
      <c r="A158" s="414"/>
      <c r="B158" s="414"/>
      <c r="C158" s="414"/>
      <c r="D158" s="421"/>
      <c r="E158" s="422"/>
      <c r="F158" s="422"/>
      <c r="G158" s="422"/>
      <c r="H158" s="422"/>
      <c r="I158" s="422"/>
      <c r="J158" s="422"/>
      <c r="K158" s="422"/>
      <c r="L158" s="414"/>
    </row>
    <row r="159" spans="1:12">
      <c r="A159" s="431" t="s">
        <v>172</v>
      </c>
      <c r="B159" s="431" t="s">
        <v>73</v>
      </c>
      <c r="C159" s="431" t="s">
        <v>78</v>
      </c>
      <c r="D159" s="440">
        <f>J159/5</f>
        <v>804562927.71283436</v>
      </c>
      <c r="E159" s="441">
        <f>E63+E95+E146</f>
        <v>559794434.35827661</v>
      </c>
      <c r="F159" s="441">
        <f>F63+F95+F146</f>
        <v>520157514.47619045</v>
      </c>
      <c r="G159" s="441">
        <f>G63+G95+G146</f>
        <v>919070980.60000002</v>
      </c>
      <c r="H159" s="441">
        <f>H63+H95+H146</f>
        <v>990151217.16100001</v>
      </c>
      <c r="I159" s="441">
        <f>I63+I95+I146</f>
        <v>1033640491.9687049</v>
      </c>
      <c r="J159" s="442">
        <f>SUM(E159:I159)</f>
        <v>4022814638.5641718</v>
      </c>
      <c r="K159" s="431"/>
      <c r="L159" s="431" t="s">
        <v>73</v>
      </c>
    </row>
    <row r="160" spans="1:12">
      <c r="A160" s="414"/>
      <c r="B160" s="414"/>
      <c r="C160" s="414"/>
      <c r="D160" s="421"/>
      <c r="E160" s="422"/>
      <c r="F160" s="422"/>
      <c r="G160" s="422"/>
      <c r="H160" s="422"/>
      <c r="I160" s="422"/>
      <c r="J160" s="422"/>
      <c r="K160" s="414"/>
      <c r="L160" s="414"/>
    </row>
    <row r="161" spans="1:12">
      <c r="A161" s="465" t="s">
        <v>173</v>
      </c>
      <c r="B161" s="465" t="s">
        <v>73</v>
      </c>
      <c r="C161" s="465" t="s">
        <v>78</v>
      </c>
      <c r="D161" s="466">
        <f>J161/5</f>
        <v>126880272.2871656</v>
      </c>
      <c r="E161" s="467">
        <f>E3-E63-E95-E146</f>
        <v>60061565.641723365</v>
      </c>
      <c r="F161" s="467">
        <f>F3-F63-F95-F146</f>
        <v>818485.52380952239</v>
      </c>
      <c r="G161" s="467">
        <f>G3-G63-G95-G146</f>
        <v>178113019.40000001</v>
      </c>
      <c r="H161" s="467">
        <f>H3-H63-H95-H146</f>
        <v>198072782.83900002</v>
      </c>
      <c r="I161" s="467">
        <f>I3-I63-I95-I146</f>
        <v>197335508.031295</v>
      </c>
      <c r="J161" s="468">
        <f>SUM(E161:I161)</f>
        <v>634401361.43582797</v>
      </c>
      <c r="K161" s="465"/>
      <c r="L161" s="457" t="s">
        <v>73</v>
      </c>
    </row>
    <row r="162" spans="1:12">
      <c r="A162" s="414"/>
      <c r="B162" s="414"/>
      <c r="C162" s="414"/>
      <c r="D162" s="421"/>
      <c r="E162" s="422"/>
      <c r="F162" s="422"/>
      <c r="G162" s="422"/>
      <c r="H162" s="422"/>
      <c r="I162" s="422"/>
      <c r="J162" s="422"/>
      <c r="K162" s="414"/>
      <c r="L162" s="414"/>
    </row>
    <row r="163" spans="1:12">
      <c r="A163" s="465" t="s">
        <v>174</v>
      </c>
      <c r="B163" s="465" t="s">
        <v>73</v>
      </c>
      <c r="C163" s="465" t="s">
        <v>78</v>
      </c>
      <c r="D163" s="466">
        <v>79454.036533333332</v>
      </c>
      <c r="E163" s="467">
        <f>SUM($E161)</f>
        <v>60061565.641723365</v>
      </c>
      <c r="F163" s="467">
        <f>SUM($E161:F161)</f>
        <v>60880051.165532887</v>
      </c>
      <c r="G163" s="467">
        <f>SUM($E161:G161)</f>
        <v>238993070.56553289</v>
      </c>
      <c r="H163" s="467">
        <f>SUM($E161:H161)</f>
        <v>437065853.40453291</v>
      </c>
      <c r="I163" s="467">
        <f>SUM($E161:I161)</f>
        <v>634401361.43582797</v>
      </c>
      <c r="J163" s="468">
        <f>I163</f>
        <v>634401361.43582797</v>
      </c>
      <c r="K163" s="465"/>
      <c r="L163" s="457" t="s">
        <v>73</v>
      </c>
    </row>
    <row r="164" spans="1:12">
      <c r="A164" s="414"/>
      <c r="B164" s="414"/>
      <c r="C164" s="414"/>
      <c r="D164" s="421"/>
      <c r="E164" s="422"/>
      <c r="F164" s="422"/>
      <c r="G164" s="422"/>
      <c r="H164" s="422"/>
      <c r="I164" s="422"/>
      <c r="J164" s="422"/>
      <c r="K164" s="414"/>
      <c r="L164" s="414"/>
    </row>
    <row r="165" spans="1:12">
      <c r="A165" s="431" t="s">
        <v>175</v>
      </c>
      <c r="B165" s="431" t="s">
        <v>73</v>
      </c>
      <c r="C165" s="431" t="s">
        <v>78</v>
      </c>
      <c r="D165" s="440" t="e">
        <f>J165/5</f>
        <v>#REF!</v>
      </c>
      <c r="E165" s="441" t="e">
        <f>IF(E163&lt;0,0,E161*(1-#REF!))</f>
        <v>#REF!</v>
      </c>
      <c r="F165" s="441" t="e">
        <f>IF(F163&lt;0,0,F161*(1-#REF!))</f>
        <v>#REF!</v>
      </c>
      <c r="G165" s="441" t="e">
        <f>IF(G163&lt;0,0,G161*(1-#REF!))</f>
        <v>#REF!</v>
      </c>
      <c r="H165" s="441" t="e">
        <f>IF(H163&lt;0,0,H161*(1-#REF!))</f>
        <v>#REF!</v>
      </c>
      <c r="I165" s="441" t="e">
        <f>IF(I163&lt;0,0,I161*(1-#REF!))</f>
        <v>#REF!</v>
      </c>
      <c r="J165" s="442" t="e">
        <f>SUM(E165:I165)</f>
        <v>#REF!</v>
      </c>
      <c r="K165" s="431"/>
      <c r="L165" s="431" t="s">
        <v>73</v>
      </c>
    </row>
    <row r="166" spans="1:12">
      <c r="A166" s="414"/>
      <c r="B166" s="414"/>
      <c r="C166" s="414"/>
      <c r="D166" s="421"/>
      <c r="E166" s="422"/>
      <c r="F166" s="422"/>
      <c r="G166" s="422"/>
      <c r="H166" s="422"/>
      <c r="I166" s="422"/>
      <c r="J166" s="422"/>
      <c r="K166" s="414"/>
      <c r="L166" s="414"/>
    </row>
    <row r="167" spans="1:12">
      <c r="A167" s="431" t="s">
        <v>176</v>
      </c>
      <c r="B167" s="431" t="s">
        <v>73</v>
      </c>
      <c r="C167" s="431" t="s">
        <v>78</v>
      </c>
      <c r="D167" s="440" t="e">
        <f>J167/5</f>
        <v>#REF!</v>
      </c>
      <c r="E167" s="441" t="e">
        <f>IF(E163&lt;0,0,E163*(1-#REF!))</f>
        <v>#REF!</v>
      </c>
      <c r="F167" s="441" t="e">
        <f>IF(F163&lt;0,0,F163*(1-#REF!))</f>
        <v>#REF!</v>
      </c>
      <c r="G167" s="441" t="e">
        <f>IF(G163&lt;0,0,G163*(1-#REF!))</f>
        <v>#REF!</v>
      </c>
      <c r="H167" s="441" t="e">
        <f>IF(H163&lt;0,0,H163*(1-#REF!))</f>
        <v>#REF!</v>
      </c>
      <c r="I167" s="441" t="e">
        <f>IF(I163&lt;0,0,I163*(1-#REF!))</f>
        <v>#REF!</v>
      </c>
      <c r="J167" s="442" t="e">
        <f>I167</f>
        <v>#REF!</v>
      </c>
      <c r="K167" s="431"/>
      <c r="L167" s="431" t="s">
        <v>73</v>
      </c>
    </row>
    <row r="168" spans="1:12">
      <c r="A168" s="414"/>
      <c r="B168" s="414"/>
      <c r="C168" s="414"/>
      <c r="D168" s="421"/>
      <c r="E168" s="422"/>
      <c r="F168" s="422"/>
      <c r="G168" s="422"/>
      <c r="H168" s="422"/>
      <c r="I168" s="422"/>
      <c r="J168" s="422"/>
      <c r="K168" s="414"/>
      <c r="L168" s="414"/>
    </row>
    <row r="169" spans="1:12">
      <c r="A169" s="469" t="s">
        <v>177</v>
      </c>
      <c r="B169" s="469" t="s">
        <v>73</v>
      </c>
      <c r="C169" s="469" t="s">
        <v>78</v>
      </c>
      <c r="D169" s="470" t="e">
        <f>J169/5</f>
        <v>#REF!</v>
      </c>
      <c r="E169" s="471" t="e">
        <f>E3-E63-E95-E134-E171+E175-E177</f>
        <v>#REF!</v>
      </c>
      <c r="F169" s="471">
        <f>F3-F63-F95-F134-F171+F175-F177</f>
        <v>-171298946.47619048</v>
      </c>
      <c r="G169" s="471" t="e">
        <f>G3-G63-G95-G134-G171+G175-G177</f>
        <v>#REF!</v>
      </c>
      <c r="H169" s="471" t="e">
        <f>H3-H63-H95-H134-H171+H175-H177</f>
        <v>#REF!</v>
      </c>
      <c r="I169" s="471" t="e">
        <f>I3-I63-I95-I134-I171+I175-I177</f>
        <v>#REF!</v>
      </c>
      <c r="J169" s="472" t="e">
        <f>I169</f>
        <v>#REF!</v>
      </c>
      <c r="K169" s="469"/>
      <c r="L169" s="473" t="s">
        <v>73</v>
      </c>
    </row>
    <row r="170" spans="1:12">
      <c r="A170" s="414"/>
      <c r="B170" s="414"/>
      <c r="C170" s="414"/>
      <c r="D170" s="415"/>
      <c r="E170" s="422"/>
      <c r="F170" s="422"/>
      <c r="G170" s="422"/>
      <c r="H170" s="422"/>
      <c r="I170" s="422"/>
      <c r="J170" s="422"/>
      <c r="K170" s="422"/>
      <c r="L170" s="414"/>
    </row>
    <row r="171" spans="1:12">
      <c r="A171" s="423" t="s">
        <v>178</v>
      </c>
      <c r="B171" s="424" t="s">
        <v>73</v>
      </c>
      <c r="C171" s="424" t="s">
        <v>78</v>
      </c>
      <c r="D171" s="445"/>
      <c r="E171" s="447" t="e">
        <f>SUM(E172:E173)</f>
        <v>#REF!</v>
      </c>
      <c r="F171" s="447">
        <f>SUM(F172:F173)</f>
        <v>20000000</v>
      </c>
      <c r="G171" s="447" t="e">
        <f>SUM(G172:G173)</f>
        <v>#REF!</v>
      </c>
      <c r="H171" s="447" t="e">
        <f>SUM(H172:H173)</f>
        <v>#REF!</v>
      </c>
      <c r="I171" s="447" t="e">
        <f>SUM(I172:I173)</f>
        <v>#REF!</v>
      </c>
      <c r="J171" s="446"/>
      <c r="K171" s="424"/>
      <c r="L171" s="424" t="s">
        <v>73</v>
      </c>
    </row>
    <row r="172" spans="1:12">
      <c r="A172" s="426" t="s">
        <v>179</v>
      </c>
      <c r="B172" s="414"/>
      <c r="C172" s="414" t="s">
        <v>78</v>
      </c>
      <c r="D172" s="429"/>
      <c r="E172" s="507">
        <v>2000000</v>
      </c>
      <c r="F172" s="507">
        <v>20000000</v>
      </c>
      <c r="G172" s="507">
        <v>40000000</v>
      </c>
      <c r="H172" s="507">
        <v>100000000</v>
      </c>
      <c r="I172" s="507">
        <v>100000000</v>
      </c>
      <c r="J172" s="447"/>
      <c r="K172" s="414"/>
      <c r="L172" s="414"/>
    </row>
    <row r="173" spans="1:12">
      <c r="A173" s="426" t="s">
        <v>180</v>
      </c>
      <c r="B173" s="414"/>
      <c r="C173" s="414" t="s">
        <v>78</v>
      </c>
      <c r="D173" s="429"/>
      <c r="E173" s="507" t="e">
        <f>E165*0.2</f>
        <v>#REF!</v>
      </c>
      <c r="F173" s="507"/>
      <c r="G173" s="507" t="e">
        <f>G165*0.2</f>
        <v>#REF!</v>
      </c>
      <c r="H173" s="507" t="e">
        <f>H165*0.2</f>
        <v>#REF!</v>
      </c>
      <c r="I173" s="507" t="e">
        <f>I165*0.2</f>
        <v>#REF!</v>
      </c>
      <c r="J173" s="447"/>
      <c r="K173" s="414"/>
      <c r="L173" s="414"/>
    </row>
    <row r="174" spans="1:12">
      <c r="A174" s="414"/>
      <c r="B174" s="414"/>
      <c r="C174" s="414"/>
      <c r="D174" s="429"/>
      <c r="E174" s="474"/>
      <c r="F174" s="474"/>
      <c r="G174" s="474"/>
      <c r="H174" s="474"/>
      <c r="I174" s="474"/>
      <c r="J174" s="474"/>
      <c r="K174" s="422"/>
      <c r="L174" s="414"/>
    </row>
    <row r="175" spans="1:12">
      <c r="A175" s="423" t="s">
        <v>181</v>
      </c>
      <c r="B175" s="424" t="s">
        <v>73</v>
      </c>
      <c r="C175" s="424" t="s">
        <v>78</v>
      </c>
      <c r="D175" s="445"/>
      <c r="E175" s="447">
        <f>SUM(E176:E178)</f>
        <v>0</v>
      </c>
      <c r="F175" s="447">
        <f>SUM(F176:F178)</f>
        <v>0</v>
      </c>
      <c r="G175" s="447">
        <f>SUM(G176:G178)</f>
        <v>75000000</v>
      </c>
      <c r="H175" s="447">
        <f>SUM(H176:H178)</f>
        <v>0</v>
      </c>
      <c r="I175" s="447">
        <f>SUM(I176:I178)</f>
        <v>25000000</v>
      </c>
      <c r="J175" s="446"/>
      <c r="K175" s="424"/>
      <c r="L175" s="424" t="s">
        <v>73</v>
      </c>
    </row>
    <row r="176" spans="1:12">
      <c r="A176" s="426" t="s">
        <v>182</v>
      </c>
      <c r="B176" s="414"/>
      <c r="C176" s="414" t="s">
        <v>78</v>
      </c>
      <c r="D176" s="429"/>
      <c r="E176" s="507"/>
      <c r="F176" s="507"/>
      <c r="G176" s="507"/>
      <c r="H176" s="507"/>
      <c r="I176" s="507"/>
      <c r="J176" s="447"/>
      <c r="K176" s="414"/>
      <c r="L176" s="414"/>
    </row>
    <row r="177" spans="1:12">
      <c r="A177" s="444" t="s">
        <v>183</v>
      </c>
      <c r="B177" s="414"/>
      <c r="C177" s="414" t="s">
        <v>78</v>
      </c>
      <c r="D177" s="429"/>
      <c r="E177" s="447"/>
      <c r="F177" s="447"/>
      <c r="G177" s="447">
        <v>75000000</v>
      </c>
      <c r="H177" s="447"/>
      <c r="I177" s="447">
        <v>25000000</v>
      </c>
      <c r="J177" s="447"/>
      <c r="K177" s="414"/>
      <c r="L177" s="414"/>
    </row>
    <row r="178" spans="1:12">
      <c r="A178" s="414"/>
      <c r="B178" s="414"/>
      <c r="C178" s="414"/>
      <c r="D178" s="415"/>
      <c r="E178" s="414"/>
      <c r="F178" s="547"/>
      <c r="G178" s="414"/>
      <c r="H178" s="414"/>
      <c r="I178" s="414"/>
      <c r="J178" s="414"/>
      <c r="K178" s="422"/>
      <c r="L178" s="414"/>
    </row>
    <row r="179" spans="1:12">
      <c r="A179" s="414"/>
      <c r="B179" s="414"/>
      <c r="C179" s="414"/>
      <c r="D179" s="415"/>
      <c r="E179" s="422"/>
      <c r="F179" s="422"/>
      <c r="G179" s="422"/>
      <c r="H179" s="422"/>
      <c r="I179" s="422"/>
      <c r="J179" s="422"/>
      <c r="K179" s="422"/>
      <c r="L179" s="414"/>
    </row>
    <row r="180" spans="1:12">
      <c r="A180" s="431" t="s">
        <v>184</v>
      </c>
      <c r="B180" s="431" t="s">
        <v>73</v>
      </c>
      <c r="C180" s="431" t="s">
        <v>78</v>
      </c>
      <c r="D180" s="440">
        <f>J180/5</f>
        <v>150000000</v>
      </c>
      <c r="E180" s="509">
        <v>100000000</v>
      </c>
      <c r="F180" s="509">
        <v>100000000</v>
      </c>
      <c r="G180" s="509">
        <v>175000000</v>
      </c>
      <c r="H180" s="509">
        <v>175000000</v>
      </c>
      <c r="I180" s="509">
        <v>200000000</v>
      </c>
      <c r="J180" s="442">
        <f>SUM(E180:I180)</f>
        <v>750000000</v>
      </c>
      <c r="K180" s="431" t="s">
        <v>185</v>
      </c>
      <c r="L180" s="431" t="s">
        <v>73</v>
      </c>
    </row>
    <row r="181" spans="1:12">
      <c r="A181" s="414"/>
      <c r="B181" s="414"/>
      <c r="C181" s="414"/>
      <c r="D181" s="421"/>
      <c r="E181" s="422"/>
      <c r="F181" s="422"/>
      <c r="G181" s="422"/>
      <c r="H181" s="422"/>
      <c r="I181" s="422"/>
      <c r="J181" s="422"/>
      <c r="K181" s="414"/>
      <c r="L181" s="414"/>
    </row>
    <row r="182" spans="1:12">
      <c r="A182" s="414" t="s">
        <v>186</v>
      </c>
      <c r="B182" s="414"/>
      <c r="C182" s="414" t="s">
        <v>78</v>
      </c>
      <c r="D182" s="415"/>
      <c r="E182" s="475">
        <f>SUM($E180:E180)</f>
        <v>100000000</v>
      </c>
      <c r="F182" s="475">
        <f>SUM($E180:F180)</f>
        <v>200000000</v>
      </c>
      <c r="G182" s="475">
        <f>SUM($E180:G180)</f>
        <v>375000000</v>
      </c>
      <c r="H182" s="475">
        <f>SUM($E180:H180)</f>
        <v>550000000</v>
      </c>
      <c r="I182" s="475">
        <f>SUM($E180:I180)</f>
        <v>750000000</v>
      </c>
      <c r="J182" s="475">
        <f>SUM($E180:J180)</f>
        <v>1500000000</v>
      </c>
      <c r="K182" s="414"/>
      <c r="L182" s="414"/>
    </row>
    <row r="183" spans="1:12">
      <c r="A183" s="414" t="s">
        <v>187</v>
      </c>
      <c r="B183" s="414"/>
      <c r="C183" s="414"/>
      <c r="D183" s="415"/>
      <c r="E183" s="475">
        <f>SUM($E184:E184)</f>
        <v>100000000</v>
      </c>
      <c r="F183" s="475">
        <f>SUM($E184:F184)</f>
        <v>180000000</v>
      </c>
      <c r="G183" s="475">
        <f>SUM($E184:G184)</f>
        <v>285000000</v>
      </c>
      <c r="H183" s="475">
        <f>SUM($E184:H184)</f>
        <v>355000000</v>
      </c>
      <c r="I183" s="475">
        <f>SUM($E184:I184)</f>
        <v>395000000</v>
      </c>
      <c r="J183" s="475">
        <f>SUM($E184:J184)</f>
        <v>395000000</v>
      </c>
      <c r="K183" s="414"/>
      <c r="L183" s="414"/>
    </row>
    <row r="184" spans="1:12">
      <c r="A184" s="414"/>
      <c r="B184" s="414"/>
      <c r="C184" s="414"/>
      <c r="D184" s="415"/>
      <c r="E184" s="476">
        <f t="shared" ref="E184:J184" si="41">(E180*(COLUMN($I183)-COLUMN(E183)+1))*(1/$E2)</f>
        <v>100000000</v>
      </c>
      <c r="F184" s="476">
        <f t="shared" si="41"/>
        <v>80000000</v>
      </c>
      <c r="G184" s="476">
        <f t="shared" si="41"/>
        <v>105000000</v>
      </c>
      <c r="H184" s="476">
        <f t="shared" si="41"/>
        <v>70000000</v>
      </c>
      <c r="I184" s="476">
        <f t="shared" si="41"/>
        <v>40000000</v>
      </c>
      <c r="J184" s="476">
        <f t="shared" si="41"/>
        <v>0</v>
      </c>
      <c r="K184" s="414"/>
      <c r="L184" s="414"/>
    </row>
    <row r="185" spans="1:12">
      <c r="A185" s="414"/>
      <c r="B185" s="414"/>
      <c r="C185" s="414"/>
      <c r="D185" s="421"/>
      <c r="E185" s="422"/>
      <c r="F185" s="422"/>
      <c r="G185" s="422"/>
      <c r="H185" s="422"/>
      <c r="I185" s="422"/>
      <c r="J185" s="422"/>
      <c r="K185" s="414"/>
      <c r="L185" s="414"/>
    </row>
    <row r="186" spans="1:12">
      <c r="A186" s="469" t="s">
        <v>188</v>
      </c>
      <c r="B186" s="469"/>
      <c r="C186" s="469" t="s">
        <v>78</v>
      </c>
      <c r="D186" s="470" t="e">
        <f>J186/5</f>
        <v>#REF!</v>
      </c>
      <c r="E186" s="471" t="e">
        <f>E169+E182</f>
        <v>#REF!</v>
      </c>
      <c r="F186" s="471">
        <f>F169+F182</f>
        <v>28701053.523809522</v>
      </c>
      <c r="G186" s="471" t="e">
        <f t="shared" ref="G186:I186" si="42">G169+G182</f>
        <v>#REF!</v>
      </c>
      <c r="H186" s="471" t="e">
        <f>H169+H182</f>
        <v>#REF!</v>
      </c>
      <c r="I186" s="471" t="e">
        <f t="shared" si="42"/>
        <v>#REF!</v>
      </c>
      <c r="J186" s="472" t="e">
        <f>I186</f>
        <v>#REF!</v>
      </c>
      <c r="K186" s="469" t="s">
        <v>78</v>
      </c>
      <c r="L186" s="473" t="s">
        <v>73</v>
      </c>
    </row>
    <row r="187" spans="1:12">
      <c r="A187" s="414"/>
      <c r="B187" s="414"/>
      <c r="C187" s="414"/>
      <c r="D187" s="415"/>
      <c r="E187" s="422"/>
      <c r="F187" s="422"/>
      <c r="G187" s="422"/>
      <c r="H187" s="422"/>
      <c r="I187" s="422"/>
      <c r="J187" s="422"/>
      <c r="K187" s="414"/>
      <c r="L187" s="414"/>
    </row>
    <row r="188" spans="1:12">
      <c r="A188" s="473" t="s">
        <v>189</v>
      </c>
      <c r="B188" s="473" t="s">
        <v>73</v>
      </c>
      <c r="C188" s="473" t="s">
        <v>128</v>
      </c>
      <c r="D188" s="477">
        <v>0</v>
      </c>
      <c r="E188" s="473" t="s">
        <v>73</v>
      </c>
      <c r="F188" s="473" t="s">
        <v>73</v>
      </c>
      <c r="G188" s="473" t="s">
        <v>73</v>
      </c>
      <c r="H188" s="473" t="s">
        <v>73</v>
      </c>
      <c r="I188" s="473" t="s">
        <v>73</v>
      </c>
      <c r="J188" s="478" t="s">
        <v>73</v>
      </c>
      <c r="K188" s="431" t="s">
        <v>128</v>
      </c>
      <c r="L188" s="473" t="s">
        <v>73</v>
      </c>
    </row>
    <row r="189" spans="1:12">
      <c r="A189" s="414"/>
      <c r="B189" s="414"/>
      <c r="C189" s="415"/>
      <c r="D189" s="415"/>
      <c r="E189" s="414"/>
      <c r="F189" s="414"/>
      <c r="G189" s="414"/>
      <c r="H189" s="414"/>
      <c r="I189" s="414"/>
      <c r="J189" s="414"/>
      <c r="K189" s="422"/>
      <c r="L189" s="414"/>
    </row>
    <row r="190" spans="1:12">
      <c r="A190" s="423" t="s">
        <v>190</v>
      </c>
      <c r="B190" s="423" t="s">
        <v>73</v>
      </c>
      <c r="C190" s="424" t="s">
        <v>128</v>
      </c>
      <c r="D190" s="479">
        <f>J190/5</f>
        <v>0.44072026806877362</v>
      </c>
      <c r="E190" s="480">
        <f>E129/E$183</f>
        <v>0.81305117641723368</v>
      </c>
      <c r="F190" s="480">
        <f>F129/F$183</f>
        <v>0.18340918624338623</v>
      </c>
      <c r="G190" s="480">
        <f>G129/G$183</f>
        <v>0.83850468561403513</v>
      </c>
      <c r="H190" s="480">
        <f>H129/H$183</f>
        <v>0.72939041926478876</v>
      </c>
      <c r="I190" s="480">
        <f>I129/I$183</f>
        <v>0.65366157982606332</v>
      </c>
      <c r="J190" s="481">
        <f>J129/J183</f>
        <v>2.2036013403438681</v>
      </c>
      <c r="K190" s="423" t="s">
        <v>128</v>
      </c>
      <c r="L190" s="424" t="s">
        <v>73</v>
      </c>
    </row>
    <row r="191" spans="1:12">
      <c r="A191" s="414"/>
      <c r="B191" s="414"/>
      <c r="C191" s="482"/>
      <c r="D191" s="483"/>
      <c r="E191" s="484"/>
      <c r="F191" s="484"/>
      <c r="G191" s="484"/>
      <c r="H191" s="484"/>
      <c r="I191" s="484"/>
      <c r="J191" s="484"/>
      <c r="K191" s="444"/>
      <c r="L191" s="414"/>
    </row>
    <row r="192" spans="1:12">
      <c r="A192" s="423" t="s">
        <v>191</v>
      </c>
      <c r="B192" s="423" t="s">
        <v>73</v>
      </c>
      <c r="C192" s="424" t="s">
        <v>128</v>
      </c>
      <c r="D192" s="479">
        <f>J192/5</f>
        <v>0.32121587920801414</v>
      </c>
      <c r="E192" s="480">
        <f>E161/E183</f>
        <v>0.60061565641723369</v>
      </c>
      <c r="F192" s="480">
        <f>F161/F183</f>
        <v>4.5471417989417914E-3</v>
      </c>
      <c r="G192" s="480">
        <f t="shared" ref="G192:I192" si="43">G161/G183</f>
        <v>0.62495796280701754</v>
      </c>
      <c r="H192" s="480">
        <f t="shared" si="43"/>
        <v>0.55795150095492962</v>
      </c>
      <c r="I192" s="480">
        <f t="shared" si="43"/>
        <v>0.49958356463618986</v>
      </c>
      <c r="J192" s="481">
        <f>J161/J183</f>
        <v>1.6060793960400708</v>
      </c>
      <c r="K192" s="423" t="s">
        <v>128</v>
      </c>
      <c r="L192" s="424" t="s">
        <v>73</v>
      </c>
    </row>
    <row r="193" spans="1:12">
      <c r="A193" s="414"/>
      <c r="B193" s="414"/>
      <c r="C193" s="482"/>
      <c r="D193" s="483"/>
      <c r="E193" s="484"/>
      <c r="F193" s="484"/>
      <c r="G193" s="484"/>
      <c r="H193" s="484"/>
      <c r="I193" s="484"/>
      <c r="J193" s="484"/>
      <c r="K193" s="444"/>
      <c r="L193" s="414"/>
    </row>
    <row r="194" spans="1:12">
      <c r="A194" s="423" t="s">
        <v>192</v>
      </c>
      <c r="B194" s="485"/>
      <c r="C194" s="424" t="s">
        <v>128</v>
      </c>
      <c r="D194" s="479">
        <f>J194/5</f>
        <v>0.32121587920801414</v>
      </c>
      <c r="E194" s="480">
        <f>E163/E183</f>
        <v>0.60061565641723369</v>
      </c>
      <c r="F194" s="480">
        <f>F163/F183</f>
        <v>0.3382225064751827</v>
      </c>
      <c r="G194" s="480">
        <f t="shared" ref="G194:I194" si="44">G163/G183</f>
        <v>0.83857217742292245</v>
      </c>
      <c r="H194" s="480">
        <f t="shared" si="44"/>
        <v>1.2311714180409379</v>
      </c>
      <c r="I194" s="480">
        <f t="shared" si="44"/>
        <v>1.6060793960400708</v>
      </c>
      <c r="J194" s="481">
        <f>J163/J183</f>
        <v>1.6060793960400708</v>
      </c>
      <c r="K194" s="423" t="s">
        <v>128</v>
      </c>
      <c r="L194" s="424" t="s">
        <v>73</v>
      </c>
    </row>
    <row r="195" spans="1:12">
      <c r="A195" s="414"/>
      <c r="B195" s="414"/>
      <c r="C195" s="482"/>
      <c r="D195" s="483"/>
      <c r="E195" s="484"/>
      <c r="F195" s="484"/>
      <c r="G195" s="484"/>
      <c r="H195" s="484"/>
      <c r="I195" s="484"/>
      <c r="J195" s="484"/>
      <c r="K195" s="444"/>
      <c r="L195" s="414"/>
    </row>
    <row r="196" spans="1:12">
      <c r="A196" s="423" t="s">
        <v>193</v>
      </c>
      <c r="B196" s="423" t="s">
        <v>73</v>
      </c>
      <c r="C196" s="424" t="s">
        <v>128</v>
      </c>
      <c r="D196" s="479">
        <f>J196/5</f>
        <v>2.2036013403438686</v>
      </c>
      <c r="E196" s="480">
        <f>E129*5/E183</f>
        <v>4.0652558820861682</v>
      </c>
      <c r="F196" s="480">
        <f t="shared" ref="F196:I196" si="45">F129*5/F183</f>
        <v>0.91704593121693123</v>
      </c>
      <c r="G196" s="480">
        <f t="shared" si="45"/>
        <v>4.1925234280701753</v>
      </c>
      <c r="H196" s="480">
        <f t="shared" si="45"/>
        <v>3.6469520963239441</v>
      </c>
      <c r="I196" s="480">
        <f t="shared" si="45"/>
        <v>3.2683078991303165</v>
      </c>
      <c r="J196" s="481">
        <f>J129*5/J183</f>
        <v>11.018006701719342</v>
      </c>
      <c r="K196" s="423" t="s">
        <v>128</v>
      </c>
      <c r="L196" s="424" t="s">
        <v>73</v>
      </c>
    </row>
    <row r="242" spans="1:12">
      <c r="A242" s="414"/>
      <c r="B242" s="414"/>
      <c r="C242" s="414"/>
      <c r="D242" s="415"/>
      <c r="E242" s="414"/>
      <c r="F242" s="414"/>
      <c r="G242" s="414"/>
      <c r="H242" s="414"/>
      <c r="I242" s="414"/>
      <c r="J242" s="414"/>
      <c r="K242" s="414"/>
      <c r="L242" s="414"/>
    </row>
    <row r="243" spans="1:12">
      <c r="A243" s="414"/>
      <c r="B243" s="414"/>
      <c r="C243" s="414"/>
      <c r="D243" s="415"/>
      <c r="E243" s="414"/>
      <c r="F243" s="414"/>
      <c r="G243" s="414"/>
      <c r="H243" s="414"/>
      <c r="I243" s="414"/>
      <c r="J243" s="414"/>
      <c r="K243" s="414"/>
      <c r="L243" s="414"/>
    </row>
    <row r="244" spans="1:12">
      <c r="A244" s="431" t="s">
        <v>73</v>
      </c>
      <c r="B244" s="431" t="s">
        <v>73</v>
      </c>
      <c r="C244" s="431" t="s">
        <v>73</v>
      </c>
      <c r="D244" s="486" t="s">
        <v>73</v>
      </c>
      <c r="E244" s="431" t="s">
        <v>73</v>
      </c>
      <c r="F244" s="431" t="s">
        <v>73</v>
      </c>
      <c r="G244" s="431" t="s">
        <v>73</v>
      </c>
      <c r="H244" s="431" t="s">
        <v>73</v>
      </c>
      <c r="I244" s="431" t="s">
        <v>73</v>
      </c>
      <c r="J244" s="487" t="s">
        <v>73</v>
      </c>
      <c r="K244" s="431" t="s">
        <v>73</v>
      </c>
      <c r="L244" s="431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8823-D321-4940-B6C9-8CE222D7E8C8}">
  <sheetPr>
    <tabColor theme="7" tint="-0.249977111117893"/>
  </sheetPr>
  <dimension ref="A1:AR122"/>
  <sheetViews>
    <sheetView topLeftCell="AG1" zoomScale="85" zoomScaleNormal="85" workbookViewId="0">
      <selection activeCell="AO67" sqref="AO67:AP67"/>
    </sheetView>
  </sheetViews>
  <sheetFormatPr defaultRowHeight="15"/>
  <cols>
    <col min="1" max="1" width="37.28515625" customWidth="1"/>
    <col min="2" max="2" width="22.7109375" customWidth="1"/>
    <col min="3" max="3" width="20.42578125" customWidth="1"/>
    <col min="4" max="4" width="26.28515625" customWidth="1"/>
    <col min="5" max="5" width="17.5703125" customWidth="1"/>
    <col min="6" max="6" width="23.5703125" customWidth="1"/>
    <col min="7" max="7" width="21.42578125" customWidth="1"/>
    <col min="8" max="8" width="16.7109375" customWidth="1"/>
    <col min="9" max="9" width="15.28515625" customWidth="1"/>
    <col min="10" max="10" width="16" customWidth="1"/>
    <col min="11" max="11" width="14.140625" customWidth="1"/>
    <col min="12" max="12" width="18" customWidth="1"/>
    <col min="13" max="13" width="18.28515625" customWidth="1"/>
    <col min="14" max="16" width="14.85546875" customWidth="1"/>
    <col min="17" max="17" width="14.5703125" customWidth="1"/>
    <col min="18" max="18" width="13" customWidth="1"/>
    <col min="19" max="19" width="12.85546875" customWidth="1"/>
    <col min="20" max="21" width="12.42578125" customWidth="1"/>
    <col min="22" max="22" width="13.85546875" customWidth="1"/>
    <col min="23" max="23" width="14.28515625" customWidth="1"/>
    <col min="26" max="26" width="12.140625" customWidth="1"/>
    <col min="27" max="27" width="10.42578125" customWidth="1"/>
    <col min="28" max="28" width="16.28515625" customWidth="1"/>
    <col min="29" max="29" width="14.85546875" customWidth="1"/>
    <col min="31" max="31" width="13.28515625" customWidth="1"/>
    <col min="32" max="32" width="13.85546875" customWidth="1"/>
    <col min="33" max="33" width="16.5703125" customWidth="1"/>
    <col min="34" max="34" width="12.28515625" customWidth="1"/>
    <col min="35" max="35" width="15.85546875" customWidth="1"/>
    <col min="36" max="36" width="19.85546875" customWidth="1"/>
    <col min="37" max="37" width="18.7109375" customWidth="1"/>
    <col min="38" max="38" width="11.140625" customWidth="1"/>
    <col min="39" max="39" width="10.85546875" bestFit="1" customWidth="1"/>
    <col min="41" max="41" width="18.7109375" bestFit="1" customWidth="1"/>
    <col min="42" max="42" width="11.42578125" bestFit="1" customWidth="1"/>
    <col min="43" max="43" width="10.85546875" bestFit="1" customWidth="1"/>
    <col min="44" max="44" width="11.5703125" bestFit="1" customWidth="1"/>
    <col min="45" max="45" width="10.85546875" bestFit="1" customWidth="1"/>
  </cols>
  <sheetData>
    <row r="1" spans="1:39" ht="19.5" thickBot="1">
      <c r="A1" s="267" t="s">
        <v>194</v>
      </c>
      <c r="B1" s="268"/>
      <c r="C1" s="268"/>
      <c r="D1" s="268"/>
      <c r="E1" s="268"/>
      <c r="F1" s="268"/>
      <c r="G1" s="268"/>
      <c r="H1" s="268"/>
      <c r="I1" s="268" t="s">
        <v>195</v>
      </c>
      <c r="J1" s="268"/>
      <c r="K1" s="498"/>
      <c r="L1" s="494" t="s">
        <v>82</v>
      </c>
      <c r="M1" s="495"/>
      <c r="O1" s="500" t="s">
        <v>196</v>
      </c>
      <c r="P1" s="409" t="s">
        <v>197</v>
      </c>
      <c r="R1" s="234">
        <v>2022</v>
      </c>
      <c r="S1" s="378"/>
      <c r="T1" s="378" t="s">
        <v>198</v>
      </c>
      <c r="U1" s="379"/>
      <c r="AE1" s="554" t="s">
        <v>71</v>
      </c>
      <c r="AF1" s="127">
        <v>2022</v>
      </c>
      <c r="AG1" s="127">
        <v>2023</v>
      </c>
      <c r="AH1" s="127">
        <v>2024</v>
      </c>
      <c r="AI1" s="127">
        <v>2025</v>
      </c>
      <c r="AJ1" s="127">
        <v>2026</v>
      </c>
      <c r="AK1" s="127"/>
      <c r="AL1" s="127"/>
      <c r="AM1" s="128"/>
    </row>
    <row r="2" spans="1:39" ht="16.5" thickBot="1">
      <c r="A2" s="269" t="s">
        <v>87</v>
      </c>
      <c r="B2" s="270"/>
      <c r="C2" s="270"/>
      <c r="D2" s="270"/>
      <c r="E2" s="270"/>
      <c r="F2" s="270"/>
      <c r="G2" s="270"/>
      <c r="H2" s="270"/>
      <c r="I2" s="270"/>
      <c r="J2" s="270"/>
      <c r="K2" s="499"/>
      <c r="L2" s="496">
        <v>100000</v>
      </c>
      <c r="M2" s="497" t="s">
        <v>199</v>
      </c>
      <c r="O2" s="491" t="s">
        <v>200</v>
      </c>
      <c r="P2" s="410" t="s">
        <v>200</v>
      </c>
      <c r="R2" s="380" t="s">
        <v>201</v>
      </c>
      <c r="S2" s="381" t="s">
        <v>202</v>
      </c>
      <c r="T2" s="381" t="s">
        <v>203</v>
      </c>
      <c r="U2" s="382"/>
      <c r="AE2" s="129"/>
      <c r="AF2" s="130">
        <v>451890000</v>
      </c>
      <c r="AG2" s="550">
        <v>445150000</v>
      </c>
      <c r="AH2" s="130">
        <v>848950000</v>
      </c>
      <c r="AI2" s="130"/>
      <c r="AJ2" s="130"/>
      <c r="AK2" s="130"/>
      <c r="AL2" s="130"/>
      <c r="AM2" s="131"/>
    </row>
    <row r="3" spans="1:39">
      <c r="A3" s="115"/>
      <c r="B3" s="59" t="s">
        <v>90</v>
      </c>
      <c r="C3" s="59" t="s">
        <v>94</v>
      </c>
      <c r="D3" s="59" t="s">
        <v>96</v>
      </c>
      <c r="E3" s="59" t="s">
        <v>204</v>
      </c>
      <c r="F3" s="59" t="s">
        <v>98</v>
      </c>
      <c r="G3" s="59"/>
      <c r="H3" s="59"/>
      <c r="I3" s="59"/>
      <c r="J3" s="59"/>
      <c r="K3" s="60"/>
      <c r="O3" s="492"/>
      <c r="R3" s="383">
        <f>AF12</f>
        <v>108371333.18160002</v>
      </c>
      <c r="S3" s="384">
        <f>AF18</f>
        <v>1641942.9</v>
      </c>
      <c r="T3" s="384">
        <f>AF18*1.2</f>
        <v>1970331.4799999997</v>
      </c>
      <c r="U3" s="382"/>
      <c r="AE3" s="129"/>
      <c r="AF3" s="551">
        <f>1-(AF12/AF2)</f>
        <v>0.76018205053973309</v>
      </c>
      <c r="AG3" s="551">
        <f>1-(AG12/AG2)</f>
        <v>0.72950108407503089</v>
      </c>
      <c r="AH3" s="551">
        <f>1-(AH12/AH2)</f>
        <v>0.84538489974674591</v>
      </c>
      <c r="AI3" s="130"/>
      <c r="AJ3" s="130"/>
      <c r="AK3" s="130" t="s">
        <v>205</v>
      </c>
      <c r="AL3" s="130" t="s">
        <v>206</v>
      </c>
      <c r="AM3" s="131" t="s">
        <v>207</v>
      </c>
    </row>
    <row r="4" spans="1:39" ht="15.75" thickBot="1">
      <c r="A4" s="78"/>
      <c r="B4" s="64">
        <v>300000</v>
      </c>
      <c r="C4" s="64">
        <v>100000</v>
      </c>
      <c r="D4" s="64">
        <v>8000</v>
      </c>
      <c r="E4" s="64">
        <v>12000</v>
      </c>
      <c r="F4" s="64">
        <v>90000</v>
      </c>
      <c r="G4" s="64"/>
      <c r="H4" s="64"/>
      <c r="I4" s="117">
        <f>SUM(B4:F4)</f>
        <v>510000</v>
      </c>
      <c r="J4" s="272"/>
      <c r="K4" s="273"/>
      <c r="O4" s="492"/>
      <c r="R4" s="385"/>
      <c r="S4" s="384"/>
      <c r="T4" s="384"/>
      <c r="U4" s="382"/>
      <c r="AE4" s="129" t="s">
        <v>201</v>
      </c>
      <c r="AF4" s="551">
        <f>SUM(AF14:AF16)/AF2</f>
        <v>3.6335012945628358E-3</v>
      </c>
      <c r="AG4" s="551">
        <f>SUM(AG14:AG16)/AG2</f>
        <v>4.0983511176008085E-3</v>
      </c>
      <c r="AH4" s="551">
        <f>SUM(AH14:AH16)/AH2</f>
        <v>2.3877613522586723E-3</v>
      </c>
      <c r="AI4" s="130"/>
      <c r="AJ4" s="130"/>
      <c r="AK4" s="130" t="s">
        <v>208</v>
      </c>
      <c r="AL4" s="130" t="s">
        <v>206</v>
      </c>
      <c r="AM4" s="131" t="s">
        <v>207</v>
      </c>
    </row>
    <row r="5" spans="1:39" ht="15.75" thickBot="1">
      <c r="I5" s="376"/>
      <c r="J5" s="376"/>
      <c r="K5" s="376"/>
      <c r="O5" s="492"/>
      <c r="R5" s="380" t="s">
        <v>209</v>
      </c>
      <c r="S5" s="381" t="s">
        <v>210</v>
      </c>
      <c r="T5" s="381" t="s">
        <v>211</v>
      </c>
      <c r="U5" s="386" t="s">
        <v>212</v>
      </c>
      <c r="AE5" s="129" t="s">
        <v>201</v>
      </c>
      <c r="AF5" s="130">
        <f>AG5*0.9</f>
        <v>65440882.173600018</v>
      </c>
      <c r="AG5" s="130">
        <f>AH5*0.9</f>
        <v>72712091.30400002</v>
      </c>
      <c r="AH5" s="130">
        <f>F72*AL5*AM5</f>
        <v>80791212.560000017</v>
      </c>
      <c r="AI5" s="130">
        <f>AH5*1.09</f>
        <v>88062421.690400019</v>
      </c>
      <c r="AJ5" s="130">
        <f t="shared" ref="AJ5:AJ10" si="0">AI5*1.01</f>
        <v>88943045.907304019</v>
      </c>
      <c r="AK5" s="130" t="s">
        <v>132</v>
      </c>
      <c r="AL5" s="130">
        <v>2</v>
      </c>
      <c r="AM5" s="131">
        <v>12</v>
      </c>
    </row>
    <row r="6" spans="1:39" ht="18.75">
      <c r="A6" s="274" t="s">
        <v>213</v>
      </c>
      <c r="B6" s="56"/>
      <c r="C6" s="56"/>
      <c r="D6" s="56"/>
      <c r="E6" s="56"/>
      <c r="F6" s="56"/>
      <c r="G6" s="56"/>
      <c r="H6" s="56"/>
      <c r="I6" s="275" t="s">
        <v>214</v>
      </c>
      <c r="O6" s="492"/>
      <c r="R6" s="380">
        <v>0</v>
      </c>
      <c r="S6" s="387">
        <f t="shared" ref="S6:S11" si="1">$R$3</f>
        <v>108371333.18160002</v>
      </c>
      <c r="T6" s="387">
        <f>$R$3+($S$3*R6)</f>
        <v>108371333.18160002</v>
      </c>
      <c r="U6" s="382">
        <f>R6*$T$3</f>
        <v>0</v>
      </c>
      <c r="AE6" s="555"/>
      <c r="AF6" s="130">
        <f t="shared" ref="AF6:AG10" si="2">AG6*0.9</f>
        <v>465750</v>
      </c>
      <c r="AG6" s="130">
        <f>AH6*0.9</f>
        <v>517500</v>
      </c>
      <c r="AH6" s="130">
        <f>F66/AM6</f>
        <v>575000</v>
      </c>
      <c r="AI6" s="130">
        <f t="shared" ref="AI6:AI10" si="3">AH6*1.09</f>
        <v>626750</v>
      </c>
      <c r="AJ6" s="130">
        <f t="shared" si="0"/>
        <v>633017.5</v>
      </c>
      <c r="AK6" s="130" t="s">
        <v>215</v>
      </c>
      <c r="AL6" s="130">
        <v>1</v>
      </c>
      <c r="AM6" s="131">
        <v>12</v>
      </c>
    </row>
    <row r="7" spans="1:39">
      <c r="A7" s="115"/>
      <c r="B7" s="59" t="s">
        <v>216</v>
      </c>
      <c r="C7" s="59" t="s">
        <v>101</v>
      </c>
      <c r="D7" s="59" t="s">
        <v>217</v>
      </c>
      <c r="E7" s="59" t="s">
        <v>103</v>
      </c>
      <c r="F7" s="59" t="s">
        <v>218</v>
      </c>
      <c r="G7" s="59" t="s">
        <v>105</v>
      </c>
      <c r="H7" s="59" t="s">
        <v>219</v>
      </c>
      <c r="I7" s="60"/>
      <c r="O7" s="492"/>
      <c r="R7" s="380">
        <v>100</v>
      </c>
      <c r="S7" s="387">
        <f t="shared" si="1"/>
        <v>108371333.18160002</v>
      </c>
      <c r="T7" s="387">
        <f t="shared" ref="T7:T10" si="4">$R$3+($S$3*R7)</f>
        <v>272565623.18160003</v>
      </c>
      <c r="U7" s="382">
        <f t="shared" ref="U7:U10" si="5">R7*$T$3</f>
        <v>197033147.99999997</v>
      </c>
      <c r="AE7" s="555"/>
      <c r="AF7" s="552">
        <f t="shared" si="2"/>
        <v>17839761.408000004</v>
      </c>
      <c r="AG7" s="552">
        <f t="shared" si="2"/>
        <v>19821957.120000005</v>
      </c>
      <c r="AH7" s="552">
        <f>H32*AM7</f>
        <v>22024396.800000004</v>
      </c>
      <c r="AI7" s="130">
        <f t="shared" si="3"/>
        <v>24006592.512000006</v>
      </c>
      <c r="AJ7" s="130">
        <f t="shared" si="0"/>
        <v>24246658.437120005</v>
      </c>
      <c r="AK7" s="130" t="s">
        <v>220</v>
      </c>
      <c r="AL7" s="130">
        <v>1</v>
      </c>
      <c r="AM7" s="131">
        <v>12</v>
      </c>
    </row>
    <row r="8" spans="1:39" ht="15.75" thickBot="1">
      <c r="A8" s="78"/>
      <c r="B8" s="64">
        <v>40000</v>
      </c>
      <c r="C8" s="64">
        <v>70000</v>
      </c>
      <c r="D8" s="64">
        <v>70000</v>
      </c>
      <c r="E8" s="64">
        <v>200000</v>
      </c>
      <c r="F8" s="64">
        <v>90000</v>
      </c>
      <c r="G8" s="64">
        <v>130000</v>
      </c>
      <c r="H8" s="64">
        <v>160000</v>
      </c>
      <c r="I8" s="118">
        <f>SUM(B8:H8)</f>
        <v>760000</v>
      </c>
      <c r="O8" s="492"/>
      <c r="R8" s="380">
        <v>200</v>
      </c>
      <c r="S8" s="387">
        <f t="shared" si="1"/>
        <v>108371333.18160002</v>
      </c>
      <c r="T8" s="387">
        <f t="shared" si="4"/>
        <v>436759913.18160003</v>
      </c>
      <c r="U8" s="382">
        <f t="shared" si="5"/>
        <v>394066295.99999994</v>
      </c>
      <c r="AE8" s="129"/>
      <c r="AF8" s="552">
        <f t="shared" si="2"/>
        <v>3524472</v>
      </c>
      <c r="AG8" s="552">
        <f>F26*AL8*AM8*0.9</f>
        <v>3916080</v>
      </c>
      <c r="AH8" s="552"/>
      <c r="AI8" s="130"/>
      <c r="AJ8" s="130"/>
      <c r="AK8" s="130" t="s">
        <v>221</v>
      </c>
      <c r="AL8" s="130">
        <v>2</v>
      </c>
      <c r="AM8" s="131">
        <v>12</v>
      </c>
    </row>
    <row r="9" spans="1:39" ht="15.75" thickBot="1">
      <c r="O9" s="492"/>
      <c r="R9" s="380">
        <v>300</v>
      </c>
      <c r="S9" s="387">
        <f t="shared" si="1"/>
        <v>108371333.18160002</v>
      </c>
      <c r="T9" s="387">
        <f t="shared" si="4"/>
        <v>600954203.18159997</v>
      </c>
      <c r="U9" s="382">
        <f t="shared" si="5"/>
        <v>591099443.99999988</v>
      </c>
      <c r="AE9" s="129"/>
      <c r="AF9" s="552">
        <f t="shared" si="2"/>
        <v>11664000</v>
      </c>
      <c r="AG9" s="552">
        <f t="shared" si="2"/>
        <v>12960000</v>
      </c>
      <c r="AH9" s="552">
        <f>G19*AL9*AM9</f>
        <v>14400000</v>
      </c>
      <c r="AI9" s="130">
        <f t="shared" si="3"/>
        <v>15696000.000000002</v>
      </c>
      <c r="AJ9" s="130">
        <f>AI9*1.01</f>
        <v>15852960.000000002</v>
      </c>
      <c r="AK9" s="130" t="s">
        <v>222</v>
      </c>
      <c r="AL9" s="130">
        <v>12</v>
      </c>
      <c r="AM9" s="131">
        <v>12</v>
      </c>
    </row>
    <row r="10" spans="1:39" ht="18.75">
      <c r="A10" s="274" t="s">
        <v>223</v>
      </c>
      <c r="B10" s="56"/>
      <c r="C10" s="56"/>
      <c r="D10" s="56"/>
      <c r="E10" s="56"/>
      <c r="F10" s="56"/>
      <c r="G10" s="276" t="s">
        <v>214</v>
      </c>
      <c r="H10" s="276" t="s">
        <v>224</v>
      </c>
      <c r="I10" s="275"/>
      <c r="O10" s="492"/>
      <c r="R10" s="380">
        <v>400</v>
      </c>
      <c r="S10" s="387">
        <f t="shared" si="1"/>
        <v>108371333.18160002</v>
      </c>
      <c r="T10" s="387">
        <f t="shared" si="4"/>
        <v>765148493.18159997</v>
      </c>
      <c r="U10" s="382">
        <f t="shared" si="5"/>
        <v>788132591.99999988</v>
      </c>
      <c r="AE10" s="129"/>
      <c r="AF10" s="552">
        <f t="shared" si="2"/>
        <v>8699400</v>
      </c>
      <c r="AG10" s="552">
        <f t="shared" si="2"/>
        <v>9666000</v>
      </c>
      <c r="AH10" s="552">
        <f>F61*AM10</f>
        <v>10740000</v>
      </c>
      <c r="AI10" s="130">
        <f t="shared" si="3"/>
        <v>11706600</v>
      </c>
      <c r="AJ10" s="130">
        <f t="shared" si="0"/>
        <v>11823666</v>
      </c>
      <c r="AK10" s="130" t="s">
        <v>225</v>
      </c>
      <c r="AL10" s="130">
        <v>1</v>
      </c>
      <c r="AM10" s="131">
        <v>12</v>
      </c>
    </row>
    <row r="11" spans="1:39" ht="15.75">
      <c r="A11" s="277"/>
      <c r="B11" s="59" t="s">
        <v>111</v>
      </c>
      <c r="C11" s="59" t="s">
        <v>226</v>
      </c>
      <c r="D11" s="59" t="s">
        <v>113</v>
      </c>
      <c r="E11" s="59" t="s">
        <v>114</v>
      </c>
      <c r="F11" s="59" t="s">
        <v>115</v>
      </c>
      <c r="G11" s="59"/>
      <c r="H11" s="59"/>
      <c r="I11" s="60"/>
      <c r="O11" s="492"/>
      <c r="R11" s="380">
        <v>500</v>
      </c>
      <c r="S11" s="387">
        <f t="shared" si="1"/>
        <v>108371333.18160002</v>
      </c>
      <c r="T11" s="387">
        <f>$R$3+($S$3*R11)</f>
        <v>929342783.18159997</v>
      </c>
      <c r="U11" s="382">
        <f>R11*$T$3</f>
        <v>985165739.99999988</v>
      </c>
      <c r="AE11" s="129"/>
      <c r="AF11" s="552">
        <f>AG11*0.9</f>
        <v>737067.6</v>
      </c>
      <c r="AG11" s="552">
        <f>AH11*0.9/3</f>
        <v>818964</v>
      </c>
      <c r="AH11" s="552">
        <f>F23*AM11*3</f>
        <v>2729880</v>
      </c>
      <c r="AI11" s="130">
        <f>AH11*1.09</f>
        <v>2975569.2</v>
      </c>
      <c r="AJ11" s="130">
        <f>AI11*1.09</f>
        <v>3243370.4280000003</v>
      </c>
      <c r="AK11" s="130" t="s">
        <v>227</v>
      </c>
      <c r="AL11" s="130">
        <v>1</v>
      </c>
      <c r="AM11" s="131">
        <v>12</v>
      </c>
    </row>
    <row r="12" spans="1:39" ht="15.75" thickBot="1">
      <c r="A12" s="78" t="s">
        <v>110</v>
      </c>
      <c r="B12" s="64">
        <f>C4*1.3</f>
        <v>130000</v>
      </c>
      <c r="C12" s="64">
        <v>70000</v>
      </c>
      <c r="D12" s="64">
        <v>80000</v>
      </c>
      <c r="E12" s="64">
        <v>150000</v>
      </c>
      <c r="F12" s="64">
        <v>10000</v>
      </c>
      <c r="G12" s="117">
        <f>SUM(B12:F12)</f>
        <v>440000</v>
      </c>
      <c r="H12" s="346">
        <f>G12+G15</f>
        <v>720000</v>
      </c>
      <c r="I12" s="273"/>
      <c r="O12" s="492"/>
      <c r="R12" s="380"/>
      <c r="S12" s="387"/>
      <c r="T12" s="387"/>
      <c r="U12" s="382"/>
      <c r="AE12" s="555" t="s">
        <v>228</v>
      </c>
      <c r="AF12" s="553">
        <f>SUM(AF5:AF11)</f>
        <v>108371333.18160002</v>
      </c>
      <c r="AG12" s="553">
        <f>SUM(AG5:AG11)</f>
        <v>120412592.42400002</v>
      </c>
      <c r="AH12" s="553">
        <f>SUM(AH5:AH11)</f>
        <v>131260489.36000001</v>
      </c>
      <c r="AI12" s="553">
        <f t="shared" ref="AI12:AJ12" si="6">SUM(AI5:AI11)</f>
        <v>143073933.40240002</v>
      </c>
      <c r="AJ12" s="553">
        <f t="shared" si="6"/>
        <v>144742718.27242401</v>
      </c>
      <c r="AK12" s="130" t="s">
        <v>229</v>
      </c>
      <c r="AL12" s="130"/>
      <c r="AM12" s="131"/>
    </row>
    <row r="13" spans="1:39" ht="15.75" thickBot="1">
      <c r="A13" s="119"/>
      <c r="B13" s="56"/>
      <c r="C13" s="56"/>
      <c r="D13" s="56"/>
      <c r="E13" s="56"/>
      <c r="F13" s="56"/>
      <c r="G13" s="278"/>
      <c r="H13" s="279"/>
      <c r="I13" s="280"/>
      <c r="O13" s="492"/>
      <c r="R13" s="388"/>
      <c r="S13" s="389"/>
      <c r="T13" s="390"/>
      <c r="U13" s="391"/>
      <c r="AE13" s="556"/>
      <c r="AF13" s="557"/>
      <c r="AG13" s="557"/>
      <c r="AH13" s="557"/>
      <c r="AI13" s="558"/>
      <c r="AJ13" s="558"/>
      <c r="AK13" s="558"/>
      <c r="AL13" s="196"/>
      <c r="AM13" s="197"/>
    </row>
    <row r="14" spans="1:39">
      <c r="A14" s="115" t="s">
        <v>107</v>
      </c>
      <c r="B14" s="59" t="s">
        <v>230</v>
      </c>
      <c r="C14" s="59" t="s">
        <v>109</v>
      </c>
      <c r="D14" s="59"/>
      <c r="E14" s="59"/>
      <c r="F14" s="59"/>
      <c r="G14" s="281"/>
      <c r="H14" s="282"/>
      <c r="I14" s="283"/>
      <c r="O14" s="492"/>
      <c r="AE14" s="554" t="s">
        <v>231</v>
      </c>
      <c r="AF14" s="127">
        <f>AG14*0.9</f>
        <v>1028700</v>
      </c>
      <c r="AG14" s="127">
        <f>AH14*0.9</f>
        <v>1143000</v>
      </c>
      <c r="AH14" s="127">
        <f>I4+I8</f>
        <v>1270000</v>
      </c>
      <c r="AI14" s="127">
        <f>AH14*1.09</f>
        <v>1384300</v>
      </c>
      <c r="AJ14" s="127">
        <f>AI14*1.01</f>
        <v>1398143</v>
      </c>
      <c r="AK14" s="128" t="s">
        <v>232</v>
      </c>
    </row>
    <row r="15" spans="1:39" ht="15.75" thickBot="1">
      <c r="A15" s="78"/>
      <c r="B15" s="64">
        <v>40000</v>
      </c>
      <c r="C15" s="64">
        <v>240000</v>
      </c>
      <c r="D15" s="64"/>
      <c r="E15" s="64"/>
      <c r="F15" s="64"/>
      <c r="G15" s="117">
        <f>SUM(B15:C15)</f>
        <v>280000</v>
      </c>
      <c r="H15" s="272"/>
      <c r="I15" s="273"/>
      <c r="O15" s="492"/>
      <c r="AE15" s="129"/>
      <c r="AF15" s="130">
        <f>AG15*0.9</f>
        <v>583200</v>
      </c>
      <c r="AG15" s="130">
        <f>AH15*0.9</f>
        <v>648000</v>
      </c>
      <c r="AH15" s="130">
        <f>H12</f>
        <v>720000</v>
      </c>
      <c r="AI15" s="130">
        <f t="shared" ref="AI15:AI16" si="7">AH15*1.09</f>
        <v>784800</v>
      </c>
      <c r="AJ15" s="130">
        <f>AI15*1.01</f>
        <v>792648</v>
      </c>
      <c r="AK15" s="131" t="s">
        <v>233</v>
      </c>
    </row>
    <row r="16" spans="1:39" ht="15.75" thickBot="1">
      <c r="O16" s="492"/>
      <c r="AE16" s="129"/>
      <c r="AF16" s="130">
        <f t="shared" ref="AF16:AG16" si="8">AG16*0.9</f>
        <v>30042.9</v>
      </c>
      <c r="AG16" s="130">
        <f t="shared" si="8"/>
        <v>33381</v>
      </c>
      <c r="AH16" s="130">
        <f>E37+E40</f>
        <v>37090</v>
      </c>
      <c r="AI16" s="130">
        <f t="shared" si="7"/>
        <v>40428.100000000006</v>
      </c>
      <c r="AJ16" s="130">
        <f>AI16*1.1</f>
        <v>44470.910000000011</v>
      </c>
      <c r="AK16" s="559" t="s">
        <v>234</v>
      </c>
    </row>
    <row r="17" spans="1:42" ht="18.75">
      <c r="A17" s="304" t="s">
        <v>235</v>
      </c>
      <c r="B17" s="305"/>
      <c r="C17" s="305"/>
      <c r="D17" s="305"/>
      <c r="E17" s="305"/>
      <c r="F17" s="305"/>
      <c r="G17" s="306"/>
      <c r="H17" s="306" t="s">
        <v>236</v>
      </c>
      <c r="O17" s="492"/>
      <c r="AE17" s="129" t="s">
        <v>237</v>
      </c>
      <c r="AF17" s="130"/>
      <c r="AG17" s="130"/>
      <c r="AH17" s="130"/>
      <c r="AI17" s="130"/>
      <c r="AJ17" s="130"/>
      <c r="AK17" s="131"/>
    </row>
    <row r="18" spans="1:42" ht="19.5" thickBot="1">
      <c r="A18" s="307"/>
      <c r="B18" s="308" t="s">
        <v>238</v>
      </c>
      <c r="C18" s="308" t="s">
        <v>239</v>
      </c>
      <c r="D18" s="308" t="s">
        <v>240</v>
      </c>
      <c r="E18" s="308" t="s">
        <v>241</v>
      </c>
      <c r="F18" s="308" t="s">
        <v>242</v>
      </c>
      <c r="G18" s="309" t="s">
        <v>243</v>
      </c>
      <c r="H18" s="309" t="s">
        <v>243</v>
      </c>
      <c r="O18" s="492"/>
      <c r="AE18" s="256"/>
      <c r="AF18" s="196">
        <f>SUM(AF14:AF16)</f>
        <v>1641942.9</v>
      </c>
      <c r="AG18" s="196">
        <f>SUM(AG14:AG16)</f>
        <v>1824381</v>
      </c>
      <c r="AH18" s="196">
        <f>SUM(AH14:AH16)</f>
        <v>2027090</v>
      </c>
      <c r="AI18" s="196">
        <f t="shared" ref="AI18" si="9">SUM(AI14:AI16)</f>
        <v>2209528.1</v>
      </c>
      <c r="AJ18" s="196">
        <f>SUM(AJ14:AJ16)</f>
        <v>2235261.91</v>
      </c>
      <c r="AK18" s="197" t="s">
        <v>185</v>
      </c>
    </row>
    <row r="19" spans="1:42" ht="15.75" thickBot="1">
      <c r="A19" s="310"/>
      <c r="B19" s="311">
        <v>40000</v>
      </c>
      <c r="C19" s="311">
        <v>20000</v>
      </c>
      <c r="D19" s="311">
        <v>40000</v>
      </c>
      <c r="E19" s="311"/>
      <c r="F19" s="311">
        <v>0</v>
      </c>
      <c r="G19" s="312">
        <f>SUM(B19:F19)</f>
        <v>100000</v>
      </c>
      <c r="H19" s="312">
        <f>G19*12</f>
        <v>1200000</v>
      </c>
      <c r="O19" s="492"/>
      <c r="R19" s="234">
        <v>2023</v>
      </c>
      <c r="S19" s="378"/>
      <c r="T19" s="378" t="s">
        <v>198</v>
      </c>
      <c r="U19" s="379"/>
      <c r="AE19" s="554" t="s">
        <v>244</v>
      </c>
      <c r="AF19" s="127"/>
      <c r="AG19" s="127"/>
      <c r="AH19" s="127"/>
      <c r="AI19" s="127"/>
      <c r="AJ19" s="127"/>
      <c r="AK19" s="128"/>
    </row>
    <row r="20" spans="1:42" ht="15.75" thickBot="1">
      <c r="A20" s="258"/>
      <c r="B20" s="259"/>
      <c r="C20" s="259"/>
      <c r="D20" s="259"/>
      <c r="E20" s="259"/>
      <c r="F20" s="260"/>
      <c r="O20" s="492"/>
      <c r="R20" s="380" t="s">
        <v>201</v>
      </c>
      <c r="S20" s="381" t="s">
        <v>202</v>
      </c>
      <c r="T20" s="381" t="s">
        <v>203</v>
      </c>
      <c r="U20" s="382"/>
      <c r="AE20" s="256"/>
      <c r="AF20" s="560">
        <f t="shared" ref="AF20:AG20" si="10">AF18+AF12</f>
        <v>110013276.08160003</v>
      </c>
      <c r="AG20" s="560">
        <f t="shared" si="10"/>
        <v>122236973.42400002</v>
      </c>
      <c r="AH20" s="560">
        <f>AH18+AH12</f>
        <v>133287579.36000001</v>
      </c>
      <c r="AI20" s="560">
        <f t="shared" ref="AI20:AJ20" si="11">AI18+AI12</f>
        <v>145283461.50240001</v>
      </c>
      <c r="AJ20" s="560">
        <f t="shared" si="11"/>
        <v>146977980.18242401</v>
      </c>
      <c r="AK20" s="197" t="s">
        <v>185</v>
      </c>
    </row>
    <row r="21" spans="1:42" ht="18.75">
      <c r="A21" s="304" t="s">
        <v>245</v>
      </c>
      <c r="B21" s="305" t="s">
        <v>246</v>
      </c>
      <c r="C21" s="305"/>
      <c r="D21" s="305"/>
      <c r="E21" s="305"/>
      <c r="F21" s="313" t="s">
        <v>195</v>
      </c>
      <c r="G21" s="313" t="s">
        <v>247</v>
      </c>
      <c r="H21" s="318" t="s">
        <v>248</v>
      </c>
      <c r="I21" s="319"/>
      <c r="J21" s="319"/>
      <c r="K21" s="319" t="s">
        <v>249</v>
      </c>
      <c r="L21" s="306"/>
      <c r="O21" s="492"/>
      <c r="R21" s="383">
        <f>AG12</f>
        <v>120412592.42400002</v>
      </c>
      <c r="S21" s="384">
        <f>AG18</f>
        <v>1824381</v>
      </c>
      <c r="T21" s="384">
        <f>AG18*1.2</f>
        <v>2189257.1999999997</v>
      </c>
      <c r="U21" s="382"/>
    </row>
    <row r="22" spans="1:42">
      <c r="A22" s="307" t="s">
        <v>250</v>
      </c>
      <c r="B22" s="308" t="s">
        <v>251</v>
      </c>
      <c r="C22" s="308" t="s">
        <v>252</v>
      </c>
      <c r="D22" s="308" t="s">
        <v>253</v>
      </c>
      <c r="E22" s="308" t="s">
        <v>254</v>
      </c>
      <c r="F22" s="314"/>
      <c r="G22" s="314"/>
      <c r="H22" s="307">
        <v>360</v>
      </c>
      <c r="I22" s="308" t="s">
        <v>255</v>
      </c>
      <c r="J22" s="308"/>
      <c r="K22" s="308"/>
      <c r="L22" s="314"/>
      <c r="O22" s="492"/>
      <c r="R22" s="385"/>
      <c r="S22" s="384"/>
      <c r="T22" s="384"/>
      <c r="U22" s="382"/>
    </row>
    <row r="23" spans="1:42" ht="15.75">
      <c r="A23" s="310"/>
      <c r="B23" s="311">
        <v>0</v>
      </c>
      <c r="C23" s="311">
        <v>45830</v>
      </c>
      <c r="D23" s="311">
        <v>10000</v>
      </c>
      <c r="E23" s="311">
        <v>20000</v>
      </c>
      <c r="F23" s="312">
        <f>SUM(B23:E23)</f>
        <v>75830</v>
      </c>
      <c r="G23" s="312">
        <f>F23*12</f>
        <v>909960</v>
      </c>
      <c r="H23" s="307">
        <v>390</v>
      </c>
      <c r="I23" s="308">
        <f>H22*H23</f>
        <v>140400</v>
      </c>
      <c r="J23" s="308" t="s">
        <v>205</v>
      </c>
      <c r="K23" s="308">
        <v>73000</v>
      </c>
      <c r="L23" s="314" t="s">
        <v>256</v>
      </c>
      <c r="O23" s="492"/>
      <c r="R23" s="380" t="s">
        <v>209</v>
      </c>
      <c r="S23" s="381" t="s">
        <v>210</v>
      </c>
      <c r="T23" s="381" t="s">
        <v>211</v>
      </c>
      <c r="U23" s="386" t="s">
        <v>212</v>
      </c>
      <c r="AE23" s="392" t="s">
        <v>257</v>
      </c>
      <c r="AF23" s="393">
        <v>2022</v>
      </c>
      <c r="AG23" s="393">
        <v>2023</v>
      </c>
      <c r="AH23" s="393">
        <v>2024</v>
      </c>
      <c r="AI23" s="394" t="s">
        <v>258</v>
      </c>
      <c r="AK23" s="724"/>
    </row>
    <row r="24" spans="1:42">
      <c r="A24" s="315" t="s">
        <v>259</v>
      </c>
      <c r="B24" s="316" t="s">
        <v>246</v>
      </c>
      <c r="C24" s="316"/>
      <c r="D24" s="316"/>
      <c r="E24" s="316"/>
      <c r="F24" s="317"/>
      <c r="G24" s="317"/>
      <c r="H24" s="310"/>
      <c r="I24" s="311">
        <f>I23/12</f>
        <v>11700</v>
      </c>
      <c r="J24" s="311" t="s">
        <v>260</v>
      </c>
      <c r="K24" s="311">
        <f>K23*4</f>
        <v>292000</v>
      </c>
      <c r="L24" s="320" t="s">
        <v>261</v>
      </c>
      <c r="O24" s="492"/>
      <c r="R24" s="380">
        <v>0</v>
      </c>
      <c r="S24" s="387">
        <f t="shared" ref="S24:S29" si="12">$R$21</f>
        <v>120412592.42400002</v>
      </c>
      <c r="T24" s="387">
        <f>$R$21+($S$21*R24)</f>
        <v>120412592.42400002</v>
      </c>
      <c r="U24" s="382">
        <f>R24*$T$21</f>
        <v>0</v>
      </c>
      <c r="AE24" s="395"/>
      <c r="AF24" s="396">
        <f>AF15*AF38</f>
        <v>6415200</v>
      </c>
      <c r="AG24" s="396">
        <f>AG15*AG38</f>
        <v>7128000</v>
      </c>
      <c r="AH24" s="396">
        <f>AH15*AH38</f>
        <v>17280000</v>
      </c>
      <c r="AI24" s="397" t="s">
        <v>262</v>
      </c>
    </row>
    <row r="25" spans="1:42">
      <c r="A25" s="307" t="s">
        <v>263</v>
      </c>
      <c r="B25" s="308" t="s">
        <v>251</v>
      </c>
      <c r="C25" s="308" t="s">
        <v>252</v>
      </c>
      <c r="D25" s="308" t="s">
        <v>253</v>
      </c>
      <c r="E25" s="308" t="s">
        <v>254</v>
      </c>
      <c r="F25" s="314"/>
      <c r="G25" s="314"/>
      <c r="O25" s="492"/>
      <c r="R25" s="380">
        <v>100</v>
      </c>
      <c r="S25" s="387">
        <f t="shared" si="12"/>
        <v>120412592.42400002</v>
      </c>
      <c r="T25" s="387">
        <f t="shared" ref="T25:T29" si="13">$R$21+($S$21*R25)</f>
        <v>302850692.42400002</v>
      </c>
      <c r="U25" s="382">
        <f t="shared" ref="U25:U29" si="14">R25*$T$21</f>
        <v>218925719.99999997</v>
      </c>
      <c r="AE25" s="395"/>
      <c r="AF25" s="396">
        <f>AF14*AF39</f>
        <v>360045000</v>
      </c>
      <c r="AG25" s="396">
        <f>AG14*AG39</f>
        <v>228600000</v>
      </c>
      <c r="AH25" s="396">
        <f>AH14*AH39</f>
        <v>692150000</v>
      </c>
      <c r="AI25" s="397" t="s">
        <v>264</v>
      </c>
      <c r="AK25" s="376"/>
      <c r="AL25" s="376"/>
      <c r="AM25" s="363"/>
      <c r="AO25" s="699"/>
      <c r="AP25" s="701">
        <v>2024</v>
      </c>
    </row>
    <row r="26" spans="1:42">
      <c r="A26" s="310" t="s">
        <v>265</v>
      </c>
      <c r="B26" s="311">
        <v>73000</v>
      </c>
      <c r="C26" s="311">
        <v>58300</v>
      </c>
      <c r="D26" s="311">
        <v>30000</v>
      </c>
      <c r="E26" s="311">
        <v>20000</v>
      </c>
      <c r="F26" s="312">
        <f>SUM(B26:E26)</f>
        <v>181300</v>
      </c>
      <c r="G26" s="312">
        <f>F26*12</f>
        <v>2175600</v>
      </c>
      <c r="O26" s="492"/>
      <c r="R26" s="380">
        <v>200</v>
      </c>
      <c r="S26" s="387">
        <f t="shared" si="12"/>
        <v>120412592.42400002</v>
      </c>
      <c r="T26" s="387">
        <f t="shared" si="13"/>
        <v>485288792.42400002</v>
      </c>
      <c r="U26" s="382">
        <f t="shared" si="14"/>
        <v>437851439.99999994</v>
      </c>
      <c r="AE26" s="395"/>
      <c r="AF26" s="396">
        <f>AF16*AF45</f>
        <v>42300403.200000003</v>
      </c>
      <c r="AG26" s="396">
        <f>AG16*AG45</f>
        <v>36585576</v>
      </c>
      <c r="AH26" s="396">
        <f>AH16*AH45</f>
        <v>58157120</v>
      </c>
      <c r="AI26" s="397" t="s">
        <v>266</v>
      </c>
      <c r="AK26" s="376"/>
      <c r="AL26" s="376"/>
      <c r="AM26" s="363"/>
      <c r="AO26" s="702" t="s">
        <v>120</v>
      </c>
      <c r="AP26" s="492">
        <v>685740000</v>
      </c>
    </row>
    <row r="27" spans="1:42">
      <c r="G27" s="376"/>
      <c r="O27" s="492"/>
      <c r="R27" s="380">
        <v>300</v>
      </c>
      <c r="S27" s="387">
        <f t="shared" si="12"/>
        <v>120412592.42400002</v>
      </c>
      <c r="T27" s="387">
        <f t="shared" si="13"/>
        <v>667726892.42400002</v>
      </c>
      <c r="U27" s="382">
        <f t="shared" si="14"/>
        <v>656777159.99999988</v>
      </c>
      <c r="AE27" s="395"/>
      <c r="AF27" s="404" t="s">
        <v>267</v>
      </c>
      <c r="AG27" s="396">
        <f>SUM(AG28:AG29)</f>
        <v>130055832</v>
      </c>
      <c r="AH27" s="404" t="s">
        <v>267</v>
      </c>
      <c r="AI27" s="397" t="s">
        <v>268</v>
      </c>
      <c r="AO27" s="702" t="s">
        <v>55</v>
      </c>
      <c r="AP27" s="718">
        <v>172470164.59999999</v>
      </c>
    </row>
    <row r="28" spans="1:42">
      <c r="G28" s="376"/>
      <c r="O28" s="492"/>
      <c r="R28" s="380">
        <v>400</v>
      </c>
      <c r="S28" s="387">
        <f t="shared" si="12"/>
        <v>120412592.42400002</v>
      </c>
      <c r="T28" s="387">
        <f t="shared" si="13"/>
        <v>850164992.42400002</v>
      </c>
      <c r="U28" s="382">
        <f t="shared" si="14"/>
        <v>875702879.99999988</v>
      </c>
      <c r="AE28" s="395"/>
      <c r="AF28" s="404" t="s">
        <v>269</v>
      </c>
      <c r="AG28" s="396">
        <f>AG14*AG43</f>
        <v>114300000</v>
      </c>
      <c r="AH28" s="404" t="s">
        <v>269</v>
      </c>
      <c r="AI28" s="397" t="s">
        <v>264</v>
      </c>
      <c r="AO28" s="702" t="s">
        <v>163</v>
      </c>
      <c r="AP28" s="718">
        <v>60860816</v>
      </c>
    </row>
    <row r="29" spans="1:42">
      <c r="O29" s="492"/>
      <c r="R29" s="380">
        <v>500</v>
      </c>
      <c r="S29" s="387">
        <f t="shared" si="12"/>
        <v>120412592.42400002</v>
      </c>
      <c r="T29" s="387">
        <f t="shared" si="13"/>
        <v>1032603092.424</v>
      </c>
      <c r="U29" s="382">
        <f t="shared" si="14"/>
        <v>1094628599.9999998</v>
      </c>
      <c r="AE29" s="395"/>
      <c r="AF29" s="404" t="s">
        <v>269</v>
      </c>
      <c r="AG29" s="405">
        <f>AG16*AG46</f>
        <v>15755832</v>
      </c>
      <c r="AH29" s="404" t="s">
        <v>269</v>
      </c>
      <c r="AI29" s="397" t="s">
        <v>266</v>
      </c>
      <c r="AO29" s="703" t="s">
        <v>172</v>
      </c>
      <c r="AP29" s="725">
        <v>919070980.60000002</v>
      </c>
    </row>
    <row r="30" spans="1:42" ht="18.75">
      <c r="A30" s="329" t="s">
        <v>270</v>
      </c>
      <c r="B30" s="171"/>
      <c r="C30" s="171"/>
      <c r="D30" s="171"/>
      <c r="E30" s="171"/>
      <c r="F30" s="171"/>
      <c r="G30" s="171"/>
      <c r="H30" s="330" t="s">
        <v>195</v>
      </c>
      <c r="I30" s="330" t="s">
        <v>247</v>
      </c>
      <c r="O30" s="492"/>
      <c r="R30" s="380"/>
      <c r="S30" s="387"/>
      <c r="T30" s="387"/>
      <c r="U30" s="382"/>
      <c r="AE30" s="395"/>
      <c r="AF30" s="406">
        <f>SUM(AF24:AF26)</f>
        <v>408760603.19999999</v>
      </c>
      <c r="AG30" s="406">
        <f>SUM(AG24:AG26,AG28:AG29)</f>
        <v>402369408</v>
      </c>
      <c r="AH30" s="406">
        <f>SUM(AH24:AH26)</f>
        <v>767587120</v>
      </c>
      <c r="AI30" s="407" t="s">
        <v>195</v>
      </c>
    </row>
    <row r="31" spans="1:42" ht="19.5" thickBot="1">
      <c r="A31" s="549" t="s">
        <v>271</v>
      </c>
      <c r="B31" s="169" t="s">
        <v>272</v>
      </c>
      <c r="C31" s="169" t="s">
        <v>273</v>
      </c>
      <c r="D31" s="169" t="s">
        <v>274</v>
      </c>
      <c r="E31" s="169" t="s">
        <v>252</v>
      </c>
      <c r="F31" s="169" t="s">
        <v>275</v>
      </c>
      <c r="G31" s="169" t="s">
        <v>251</v>
      </c>
      <c r="H31" s="174"/>
      <c r="I31" s="174"/>
      <c r="O31" s="492"/>
      <c r="R31" s="388"/>
      <c r="S31" s="389"/>
      <c r="T31" s="389"/>
      <c r="U31" s="391"/>
      <c r="AE31" s="395"/>
      <c r="AF31" s="396"/>
      <c r="AG31" s="405"/>
      <c r="AH31" s="396"/>
      <c r="AI31" s="397"/>
    </row>
    <row r="32" spans="1:42" ht="15.75" thickBot="1">
      <c r="A32" s="175">
        <f>400000*3*1.13</f>
        <v>1355999.9999999998</v>
      </c>
      <c r="B32" s="331">
        <v>50000</v>
      </c>
      <c r="C32" s="331">
        <v>100000</v>
      </c>
      <c r="D32" s="331">
        <v>30000</v>
      </c>
      <c r="E32" s="331">
        <v>20000</v>
      </c>
      <c r="F32" s="331">
        <v>30000</v>
      </c>
      <c r="G32" s="371">
        <f>I37+K40</f>
        <v>249366.40000000049</v>
      </c>
      <c r="H32" s="332">
        <f>SUM(A32:G32)</f>
        <v>1835366.4000000004</v>
      </c>
      <c r="I32" s="332">
        <f>H32*12</f>
        <v>22024396.800000004</v>
      </c>
      <c r="K32" s="374"/>
      <c r="O32" s="492"/>
      <c r="AE32" s="395" t="s">
        <v>276</v>
      </c>
      <c r="AF32" s="408">
        <f>1-(AF30/AF2)</f>
        <v>9.5442246564429456E-2</v>
      </c>
      <c r="AG32" s="408">
        <f>1-(AG30/AG2)</f>
        <v>9.6103767269459683E-2</v>
      </c>
      <c r="AH32" s="408">
        <f>1-(AH30/AH2)</f>
        <v>9.583942517227162E-2</v>
      </c>
      <c r="AI32" s="397"/>
      <c r="AL32" s="723"/>
      <c r="AO32" s="699"/>
      <c r="AP32" s="701" t="s">
        <v>277</v>
      </c>
    </row>
    <row r="33" spans="1:44" ht="15.75" thickBot="1">
      <c r="K33" s="375">
        <f>AVERAGE(AF2:AH2)</f>
        <v>581996666.66666663</v>
      </c>
      <c r="O33" s="492"/>
      <c r="AE33" s="395"/>
      <c r="AF33" s="396"/>
      <c r="AG33" s="396"/>
      <c r="AH33" s="396"/>
      <c r="AI33" s="397"/>
      <c r="AL33" s="363"/>
      <c r="AO33" s="702" t="s">
        <v>120</v>
      </c>
      <c r="AP33" s="492">
        <v>582152000</v>
      </c>
    </row>
    <row r="34" spans="1:44" ht="16.5" thickBot="1">
      <c r="G34" s="333" t="s">
        <v>278</v>
      </c>
      <c r="H34" s="171">
        <v>2822</v>
      </c>
      <c r="I34" s="368" t="s">
        <v>83</v>
      </c>
      <c r="J34" s="364" t="s">
        <v>279</v>
      </c>
      <c r="K34" s="750">
        <v>0.02</v>
      </c>
      <c r="O34" s="492"/>
      <c r="AE34" s="395"/>
      <c r="AF34" s="396"/>
      <c r="AG34" s="396"/>
      <c r="AH34" s="396"/>
      <c r="AI34" s="397"/>
      <c r="AL34" s="363"/>
      <c r="AO34" s="702" t="s">
        <v>55</v>
      </c>
      <c r="AP34" s="718">
        <v>175206694.11283439</v>
      </c>
    </row>
    <row r="35" spans="1:44" ht="19.5" thickBot="1">
      <c r="A35" s="297" t="s">
        <v>280</v>
      </c>
      <c r="B35" s="285" t="s">
        <v>117</v>
      </c>
      <c r="C35" s="285" t="s">
        <v>117</v>
      </c>
      <c r="D35" s="285"/>
      <c r="E35" s="298" t="s">
        <v>281</v>
      </c>
      <c r="G35" s="334" t="s">
        <v>119</v>
      </c>
      <c r="H35" s="169" t="s">
        <v>282</v>
      </c>
      <c r="I35" s="369" t="s">
        <v>283</v>
      </c>
      <c r="J35" s="365" t="s">
        <v>284</v>
      </c>
      <c r="K35" s="366">
        <v>581996666.66666698</v>
      </c>
      <c r="O35" s="492"/>
      <c r="AE35" s="403"/>
      <c r="AF35" s="398"/>
      <c r="AG35" s="398"/>
      <c r="AH35" s="398"/>
      <c r="AI35" s="399"/>
      <c r="AL35" s="363"/>
      <c r="AO35" s="702" t="s">
        <v>163</v>
      </c>
      <c r="AP35" s="718">
        <v>47204233.600000001</v>
      </c>
    </row>
    <row r="36" spans="1:44" ht="15.75" thickBot="1">
      <c r="A36" s="288"/>
      <c r="B36" s="289" t="s">
        <v>285</v>
      </c>
      <c r="C36" s="289" t="s">
        <v>286</v>
      </c>
      <c r="D36" s="289" t="s">
        <v>287</v>
      </c>
      <c r="E36" s="290"/>
      <c r="G36" s="334">
        <v>112</v>
      </c>
      <c r="H36" s="169">
        <f>G36*0.7</f>
        <v>78.399999999999991</v>
      </c>
      <c r="I36" s="369"/>
      <c r="J36" s="365" t="s">
        <v>288</v>
      </c>
      <c r="K36" s="366">
        <f>AVERAGE(AF24:AH24)+AVERAGE(AF25:AH25)</f>
        <v>437206066.66666669</v>
      </c>
      <c r="O36" s="492"/>
      <c r="AE36" s="400" t="s">
        <v>289</v>
      </c>
      <c r="AF36" s="401"/>
      <c r="AG36" s="401"/>
      <c r="AH36" s="401"/>
      <c r="AI36" s="402"/>
      <c r="AL36" s="363"/>
      <c r="AO36" s="703" t="s">
        <v>172</v>
      </c>
      <c r="AP36" s="725">
        <v>804562927.71283436</v>
      </c>
    </row>
    <row r="37" spans="1:44" ht="15.75" thickBot="1">
      <c r="A37" s="299"/>
      <c r="B37" s="300">
        <v>15000</v>
      </c>
      <c r="C37" s="300">
        <v>12000</v>
      </c>
      <c r="D37" s="300">
        <f>SUM(B37:C37)*0.27</f>
        <v>7290.0000000000009</v>
      </c>
      <c r="E37" s="301">
        <f>SUM(B37:D37)</f>
        <v>34290</v>
      </c>
      <c r="G37" s="175" t="s">
        <v>290</v>
      </c>
      <c r="H37" s="331">
        <f>H36*H34</f>
        <v>221244.79999999999</v>
      </c>
      <c r="I37" s="370">
        <f>H37/12</f>
        <v>18437.066666666666</v>
      </c>
      <c r="J37" s="365" t="s">
        <v>135</v>
      </c>
      <c r="K37" s="366">
        <f>AVERAGE(AF6:AH6)*12</f>
        <v>6233000</v>
      </c>
      <c r="O37" s="492"/>
      <c r="AE37" s="395"/>
      <c r="AF37" s="396">
        <v>1.6</v>
      </c>
      <c r="AG37" s="396">
        <v>1</v>
      </c>
      <c r="AH37" s="396">
        <v>2</v>
      </c>
      <c r="AI37" s="397" t="s">
        <v>291</v>
      </c>
      <c r="AL37" s="363"/>
    </row>
    <row r="38" spans="1:44" ht="19.5" thickBot="1">
      <c r="A38" s="284" t="s">
        <v>292</v>
      </c>
      <c r="B38" s="285"/>
      <c r="C38" s="285"/>
      <c r="D38" s="285"/>
      <c r="E38" s="298" t="s">
        <v>281</v>
      </c>
      <c r="J38" s="365"/>
      <c r="K38" s="366">
        <f>K35-K36-K37</f>
        <v>138557600.0000003</v>
      </c>
      <c r="O38" s="492"/>
      <c r="R38" s="234">
        <v>2024</v>
      </c>
      <c r="S38" s="378"/>
      <c r="T38" s="378" t="s">
        <v>198</v>
      </c>
      <c r="U38" s="379"/>
      <c r="AE38" s="395"/>
      <c r="AF38" s="396">
        <v>11</v>
      </c>
      <c r="AG38" s="396">
        <v>11</v>
      </c>
      <c r="AH38" s="396">
        <v>24</v>
      </c>
      <c r="AI38" s="397" t="s">
        <v>293</v>
      </c>
      <c r="AL38" s="363"/>
    </row>
    <row r="39" spans="1:44">
      <c r="A39" s="288"/>
      <c r="B39" s="289" t="s">
        <v>294</v>
      </c>
      <c r="C39" s="289" t="s">
        <v>295</v>
      </c>
      <c r="D39" s="289" t="s">
        <v>296</v>
      </c>
      <c r="E39" s="290"/>
      <c r="J39" s="365" t="s">
        <v>297</v>
      </c>
      <c r="K39" s="372">
        <f>K38*K34</f>
        <v>2771152.0000000061</v>
      </c>
      <c r="O39" s="492"/>
      <c r="R39" s="380" t="s">
        <v>201</v>
      </c>
      <c r="S39" s="381" t="s">
        <v>202</v>
      </c>
      <c r="T39" s="381" t="s">
        <v>203</v>
      </c>
      <c r="U39" s="382"/>
      <c r="AE39" s="395"/>
      <c r="AF39" s="396">
        <v>350</v>
      </c>
      <c r="AG39" s="405">
        <v>200</v>
      </c>
      <c r="AH39" s="396">
        <v>545</v>
      </c>
      <c r="AI39" s="397" t="s">
        <v>119</v>
      </c>
      <c r="AL39" s="376"/>
      <c r="AN39" s="736" t="s">
        <v>298</v>
      </c>
      <c r="AO39" s="733" t="s">
        <v>299</v>
      </c>
      <c r="AP39" s="734">
        <f>AP73+AP50+AP41</f>
        <v>804562927.71283448</v>
      </c>
      <c r="AQ39" s="701"/>
      <c r="AR39" s="737">
        <f>AR41+AR50+AR73</f>
        <v>0.99999999999999989</v>
      </c>
    </row>
    <row r="40" spans="1:44" ht="15.75" thickBot="1">
      <c r="A40" s="302"/>
      <c r="B40" s="294">
        <v>800</v>
      </c>
      <c r="C40" s="294">
        <v>1500</v>
      </c>
      <c r="D40" s="294">
        <v>500</v>
      </c>
      <c r="E40" s="303">
        <f>SUM(B40:D40)</f>
        <v>2800</v>
      </c>
      <c r="H40" s="377"/>
      <c r="J40" s="367" t="s">
        <v>300</v>
      </c>
      <c r="K40" s="373">
        <f>K39/12</f>
        <v>230929.33333333384</v>
      </c>
      <c r="O40" s="492"/>
      <c r="R40" s="383">
        <f>AH12</f>
        <v>131260489.36000001</v>
      </c>
      <c r="S40" s="384">
        <f>AH18</f>
        <v>2027090</v>
      </c>
      <c r="T40" s="384">
        <f>AH18*1.2</f>
        <v>2432508</v>
      </c>
      <c r="U40" s="382"/>
      <c r="AE40" s="395"/>
      <c r="AF40" s="396">
        <v>9</v>
      </c>
      <c r="AG40" s="405">
        <v>7</v>
      </c>
      <c r="AH40" s="396">
        <v>10</v>
      </c>
      <c r="AI40" s="397" t="s">
        <v>88</v>
      </c>
      <c r="AN40" s="702"/>
      <c r="AQ40" s="492"/>
    </row>
    <row r="41" spans="1:44">
      <c r="O41" s="492"/>
      <c r="R41" s="385"/>
      <c r="S41" s="384"/>
      <c r="T41" s="384"/>
      <c r="U41" s="382"/>
      <c r="AE41" s="395"/>
      <c r="AF41" s="396"/>
      <c r="AG41" s="396"/>
      <c r="AH41" s="396"/>
      <c r="AI41" s="397" t="s">
        <v>268</v>
      </c>
      <c r="AN41" s="702"/>
      <c r="AO41" s="727" t="s">
        <v>163</v>
      </c>
      <c r="AP41" s="732">
        <v>47204233.600000001</v>
      </c>
      <c r="AQ41" s="735">
        <f>SUM(AQ42:AQ48)</f>
        <v>1</v>
      </c>
      <c r="AR41" s="737">
        <f>AP41/AP39</f>
        <v>5.8670654555498226E-2</v>
      </c>
    </row>
    <row r="42" spans="1:44" ht="15.75" thickBot="1">
      <c r="O42" s="492"/>
      <c r="R42" s="380" t="s">
        <v>209</v>
      </c>
      <c r="S42" s="381" t="s">
        <v>210</v>
      </c>
      <c r="T42" s="381" t="s">
        <v>211</v>
      </c>
      <c r="U42" s="386" t="s">
        <v>212</v>
      </c>
      <c r="AE42" s="395"/>
      <c r="AF42" s="396"/>
      <c r="AG42" s="396">
        <v>0.4</v>
      </c>
      <c r="AH42" s="396"/>
      <c r="AI42" s="397" t="s">
        <v>291</v>
      </c>
      <c r="AN42" s="702"/>
      <c r="AO42" s="702" t="s">
        <v>165</v>
      </c>
      <c r="AP42" s="492">
        <v>1565222.4</v>
      </c>
      <c r="AQ42" s="735">
        <f>AP42/$AP$41</f>
        <v>3.3158517375017821E-2</v>
      </c>
    </row>
    <row r="43" spans="1:44" ht="18.75">
      <c r="A43" s="335" t="s">
        <v>301</v>
      </c>
      <c r="B43" s="336"/>
      <c r="C43" s="336"/>
      <c r="D43" s="336"/>
      <c r="E43" s="336"/>
      <c r="F43" s="337" t="s">
        <v>302</v>
      </c>
      <c r="G43" s="337" t="s">
        <v>303</v>
      </c>
      <c r="I43" s="364"/>
      <c r="J43" s="516" t="s">
        <v>304</v>
      </c>
      <c r="K43" s="517">
        <v>160</v>
      </c>
      <c r="O43" s="492"/>
      <c r="R43" s="380">
        <v>0</v>
      </c>
      <c r="S43" s="387">
        <f>$R$40</f>
        <v>131260489.36000001</v>
      </c>
      <c r="T43" s="387">
        <f>$R$40+($S$40*R43)</f>
        <v>131260489.36000001</v>
      </c>
      <c r="U43" s="382">
        <f>R43*$T$40</f>
        <v>0</v>
      </c>
      <c r="AE43" s="395"/>
      <c r="AF43" s="396"/>
      <c r="AG43" s="396">
        <v>100</v>
      </c>
      <c r="AH43" s="396"/>
      <c r="AI43" s="397" t="s">
        <v>119</v>
      </c>
      <c r="AN43" s="702"/>
      <c r="AO43" s="702" t="s">
        <v>166</v>
      </c>
      <c r="AP43" s="492">
        <v>4378000</v>
      </c>
      <c r="AQ43" s="735">
        <f t="shared" ref="AQ43:AQ48" si="15">AP43/$AP$41</f>
        <v>9.2745918450839959E-2</v>
      </c>
    </row>
    <row r="44" spans="1:44">
      <c r="A44" s="5"/>
      <c r="B44" s="338"/>
      <c r="C44" s="338"/>
      <c r="D44" s="338"/>
      <c r="E44" s="338"/>
      <c r="F44" s="339"/>
      <c r="G44" s="339"/>
      <c r="I44" s="365"/>
      <c r="J44" s="514" t="s">
        <v>305</v>
      </c>
      <c r="K44" s="366">
        <v>2016</v>
      </c>
      <c r="O44" s="492"/>
      <c r="R44" s="380">
        <v>100</v>
      </c>
      <c r="S44" s="387">
        <f t="shared" ref="S44:S48" si="16">$R$40</f>
        <v>131260489.36000001</v>
      </c>
      <c r="T44" s="387">
        <f t="shared" ref="T44:T48" si="17">$R$40+($S$40*R44)</f>
        <v>333969489.36000001</v>
      </c>
      <c r="U44" s="382">
        <f t="shared" ref="U44:U48" si="18">R44*$T$40</f>
        <v>243250800</v>
      </c>
      <c r="AE44" s="395"/>
      <c r="AF44" s="396"/>
      <c r="AG44" s="396">
        <v>3</v>
      </c>
      <c r="AH44" s="396"/>
      <c r="AI44" s="397" t="s">
        <v>88</v>
      </c>
      <c r="AN44" s="702"/>
      <c r="AO44" s="702" t="s">
        <v>167</v>
      </c>
      <c r="AP44" s="492">
        <v>5160000</v>
      </c>
      <c r="AQ44" s="735">
        <f t="shared" si="15"/>
        <v>0.10931222914717548</v>
      </c>
    </row>
    <row r="45" spans="1:44" ht="18.75">
      <c r="A45" s="5" t="s">
        <v>148</v>
      </c>
      <c r="B45" s="338"/>
      <c r="C45" s="338"/>
      <c r="D45" s="338"/>
      <c r="E45" s="338"/>
      <c r="F45" s="340"/>
      <c r="G45" s="340"/>
      <c r="I45" s="365" t="s">
        <v>286</v>
      </c>
      <c r="J45" s="514">
        <f>4000*1.13</f>
        <v>4520</v>
      </c>
      <c r="K45" s="366">
        <f>J45*K43</f>
        <v>723200</v>
      </c>
      <c r="O45" s="492"/>
      <c r="R45" s="380">
        <v>200</v>
      </c>
      <c r="S45" s="387">
        <f t="shared" si="16"/>
        <v>131260489.36000001</v>
      </c>
      <c r="T45" s="387">
        <f t="shared" si="17"/>
        <v>536678489.36000001</v>
      </c>
      <c r="U45" s="382">
        <f t="shared" si="18"/>
        <v>486501600</v>
      </c>
      <c r="AE45" s="395"/>
      <c r="AF45" s="396">
        <f>AF40*G95*G96-G98</f>
        <v>1408</v>
      </c>
      <c r="AG45" s="396">
        <f>AG40*G95*G96-G99</f>
        <v>1096</v>
      </c>
      <c r="AH45" s="396">
        <f>AH40*G95*G96-G98</f>
        <v>1568</v>
      </c>
      <c r="AI45" s="397" t="s">
        <v>306</v>
      </c>
      <c r="AN45" s="702"/>
      <c r="AO45" s="702" t="s">
        <v>168</v>
      </c>
      <c r="AP45" s="492">
        <v>5160000</v>
      </c>
      <c r="AQ45" s="735">
        <f t="shared" si="15"/>
        <v>0.10931222914717548</v>
      </c>
    </row>
    <row r="46" spans="1:44" ht="15.75" thickBot="1">
      <c r="A46" s="5"/>
      <c r="B46" s="338" t="s">
        <v>307</v>
      </c>
      <c r="C46" s="338" t="s">
        <v>308</v>
      </c>
      <c r="D46" s="338" t="s">
        <v>309</v>
      </c>
      <c r="E46" s="338" t="s">
        <v>310</v>
      </c>
      <c r="F46" s="339"/>
      <c r="G46" s="339"/>
      <c r="I46" s="365" t="s">
        <v>285</v>
      </c>
      <c r="J46" s="514">
        <f>5000*1.13</f>
        <v>5649.9999999999991</v>
      </c>
      <c r="K46" s="366">
        <f>J46*K43</f>
        <v>903999.99999999988</v>
      </c>
      <c r="O46" s="492"/>
      <c r="R46" s="380">
        <v>300</v>
      </c>
      <c r="S46" s="387">
        <f t="shared" si="16"/>
        <v>131260489.36000001</v>
      </c>
      <c r="T46" s="387">
        <f t="shared" si="17"/>
        <v>739387489.36000001</v>
      </c>
      <c r="U46" s="382">
        <f t="shared" si="18"/>
        <v>729752400</v>
      </c>
      <c r="AE46" s="403"/>
      <c r="AF46" s="398"/>
      <c r="AG46" s="398">
        <f>AG44*G95*G96-G101</f>
        <v>472</v>
      </c>
      <c r="AH46" s="398"/>
      <c r="AI46" s="399"/>
      <c r="AN46" s="702"/>
      <c r="AO46" s="702" t="s">
        <v>169</v>
      </c>
      <c r="AP46" s="492">
        <v>23667011.199999999</v>
      </c>
      <c r="AQ46" s="735">
        <f t="shared" si="15"/>
        <v>0.50137475804712561</v>
      </c>
    </row>
    <row r="47" spans="1:44" ht="15.75" thickBot="1">
      <c r="A47" s="5"/>
      <c r="B47" s="338">
        <v>400000</v>
      </c>
      <c r="C47" s="338">
        <v>5000</v>
      </c>
      <c r="D47" s="338">
        <v>15000</v>
      </c>
      <c r="E47" s="338">
        <v>5000</v>
      </c>
      <c r="F47" s="7">
        <f>SUM(B47:E47)</f>
        <v>425000</v>
      </c>
      <c r="G47" s="7">
        <f>F47*12</f>
        <v>5100000</v>
      </c>
      <c r="I47" s="367" t="s">
        <v>311</v>
      </c>
      <c r="J47" s="519">
        <f>3000*1.13</f>
        <v>3389.9999999999995</v>
      </c>
      <c r="K47" s="373">
        <f>J47*K43</f>
        <v>542399.99999999988</v>
      </c>
      <c r="O47" s="492"/>
      <c r="R47" s="380">
        <v>400</v>
      </c>
      <c r="S47" s="387">
        <f t="shared" si="16"/>
        <v>131260489.36000001</v>
      </c>
      <c r="T47" s="387">
        <f t="shared" si="17"/>
        <v>942096489.36000001</v>
      </c>
      <c r="U47" s="382">
        <f t="shared" si="18"/>
        <v>973003200</v>
      </c>
      <c r="AN47" s="702"/>
      <c r="AO47" s="702" t="s">
        <v>170</v>
      </c>
      <c r="AP47" s="492">
        <v>2250000</v>
      </c>
      <c r="AQ47" s="735">
        <f t="shared" si="15"/>
        <v>4.7665216197896279E-2</v>
      </c>
    </row>
    <row r="48" spans="1:44" ht="15.75" thickBot="1">
      <c r="A48" s="5"/>
      <c r="B48" s="338"/>
      <c r="C48" s="338"/>
      <c r="D48" s="338"/>
      <c r="E48" s="338"/>
      <c r="F48" s="7"/>
      <c r="G48" s="7"/>
      <c r="O48" s="492"/>
      <c r="R48" s="380">
        <v>500</v>
      </c>
      <c r="S48" s="387">
        <f t="shared" si="16"/>
        <v>131260489.36000001</v>
      </c>
      <c r="T48" s="387">
        <f t="shared" si="17"/>
        <v>1144805489.3600001</v>
      </c>
      <c r="U48" s="382">
        <f t="shared" si="18"/>
        <v>1216254000</v>
      </c>
      <c r="AN48" s="702"/>
      <c r="AO48" s="703" t="s">
        <v>171</v>
      </c>
      <c r="AP48" s="493">
        <v>5024000</v>
      </c>
      <c r="AQ48" s="735">
        <f t="shared" si="15"/>
        <v>0.1064311316347693</v>
      </c>
    </row>
    <row r="49" spans="1:44" ht="15.75" thickBot="1">
      <c r="A49" s="5" t="s">
        <v>312</v>
      </c>
      <c r="B49" s="338"/>
      <c r="C49" s="338"/>
      <c r="D49" s="338"/>
      <c r="E49" s="338"/>
      <c r="F49" s="7"/>
      <c r="G49" s="7"/>
      <c r="I49" s="364" t="s">
        <v>163</v>
      </c>
      <c r="J49" s="516" t="s">
        <v>306</v>
      </c>
      <c r="K49" s="517" t="s">
        <v>313</v>
      </c>
      <c r="O49" s="492"/>
      <c r="R49" s="380"/>
      <c r="S49" s="387"/>
      <c r="T49" s="384"/>
      <c r="U49" s="382"/>
      <c r="AN49" s="702"/>
      <c r="AQ49" s="492"/>
    </row>
    <row r="50" spans="1:44" ht="15.75" thickBot="1">
      <c r="A50" s="5"/>
      <c r="B50" s="338" t="s">
        <v>314</v>
      </c>
      <c r="C50" s="338" t="s">
        <v>315</v>
      </c>
      <c r="D50" s="338"/>
      <c r="E50" s="338"/>
      <c r="F50" s="7"/>
      <c r="G50" s="7"/>
      <c r="I50" s="367" t="s">
        <v>316</v>
      </c>
      <c r="J50" s="519">
        <v>800</v>
      </c>
      <c r="K50" s="373">
        <f>J50*K44</f>
        <v>1612800</v>
      </c>
      <c r="O50" s="492"/>
      <c r="R50" s="388"/>
      <c r="S50" s="389"/>
      <c r="T50" s="390"/>
      <c r="U50" s="391"/>
      <c r="AN50" s="702"/>
      <c r="AO50" s="727" t="s">
        <v>55</v>
      </c>
      <c r="AP50" s="728">
        <v>175206694.11283439</v>
      </c>
      <c r="AQ50" s="718"/>
      <c r="AR50" s="737">
        <f>AP50/AP39</f>
        <v>0.21776630276876163</v>
      </c>
    </row>
    <row r="51" spans="1:44">
      <c r="A51" s="5"/>
      <c r="B51" s="338">
        <v>100000</v>
      </c>
      <c r="C51" s="338">
        <v>150000</v>
      </c>
      <c r="D51" s="338"/>
      <c r="E51" s="338"/>
      <c r="F51" s="7">
        <f>SUM(B51:C51)</f>
        <v>250000</v>
      </c>
      <c r="G51" s="7">
        <f t="shared" ref="G51:G59" si="19">F51*12</f>
        <v>3000000</v>
      </c>
      <c r="O51" s="492"/>
      <c r="AN51" s="702"/>
      <c r="AO51" s="702"/>
      <c r="AP51" s="492"/>
      <c r="AQ51" s="492"/>
    </row>
    <row r="52" spans="1:44">
      <c r="A52" s="5"/>
      <c r="B52" s="338"/>
      <c r="C52" s="338"/>
      <c r="D52" s="338"/>
      <c r="E52" s="338"/>
      <c r="F52" s="7"/>
      <c r="G52" s="7"/>
      <c r="O52" s="492"/>
      <c r="AN52" s="702"/>
      <c r="AO52" s="729" t="s">
        <v>129</v>
      </c>
      <c r="AP52" s="730">
        <v>125161351.62554097</v>
      </c>
      <c r="AQ52" s="735">
        <f>SUM(AQ53:AQ57)</f>
        <v>1</v>
      </c>
    </row>
    <row r="53" spans="1:44">
      <c r="A53" s="5" t="s">
        <v>150</v>
      </c>
      <c r="B53" s="338"/>
      <c r="C53" s="338"/>
      <c r="D53" s="338"/>
      <c r="E53" s="338"/>
      <c r="F53" s="7"/>
      <c r="G53" s="7"/>
      <c r="O53" s="492"/>
      <c r="AN53" s="702"/>
      <c r="AO53" s="702" t="s">
        <v>132</v>
      </c>
      <c r="AP53" s="718">
        <v>31209064.301433593</v>
      </c>
      <c r="AQ53" s="735">
        <f>AP53/$AP$52</f>
        <v>0.24935064935064935</v>
      </c>
    </row>
    <row r="54" spans="1:44" ht="15.75" thickBot="1">
      <c r="A54" s="5"/>
      <c r="B54" s="338" t="s">
        <v>317</v>
      </c>
      <c r="C54" s="338" t="s">
        <v>318</v>
      </c>
      <c r="D54" s="338"/>
      <c r="E54" s="338"/>
      <c r="F54" s="7"/>
      <c r="G54" s="7"/>
      <c r="O54" s="492"/>
      <c r="AN54" s="702"/>
      <c r="AO54" s="702" t="s">
        <v>133</v>
      </c>
      <c r="AP54" s="718">
        <v>52015107.169055991</v>
      </c>
      <c r="AQ54" s="735">
        <f t="shared" ref="AQ54:AQ57" si="20">AP54/$AP$52</f>
        <v>0.41558441558441561</v>
      </c>
    </row>
    <row r="55" spans="1:44">
      <c r="A55" s="5"/>
      <c r="B55" s="338">
        <v>100000</v>
      </c>
      <c r="C55" s="338">
        <v>50000</v>
      </c>
      <c r="D55" s="338"/>
      <c r="E55" s="338"/>
      <c r="F55" s="7">
        <f>SUM(B55:C55)</f>
        <v>150000</v>
      </c>
      <c r="G55" s="7">
        <f t="shared" si="19"/>
        <v>1800000</v>
      </c>
      <c r="O55" s="492"/>
      <c r="R55" s="234">
        <v>2025</v>
      </c>
      <c r="S55" s="378" t="s">
        <v>319</v>
      </c>
      <c r="T55" s="378" t="s">
        <v>198</v>
      </c>
      <c r="U55" s="379"/>
      <c r="AN55" s="702"/>
      <c r="AO55" s="702" t="s">
        <v>134</v>
      </c>
      <c r="AP55" s="718">
        <v>20806042.867622398</v>
      </c>
      <c r="AQ55" s="735">
        <f t="shared" si="20"/>
        <v>0.16623376623376626</v>
      </c>
    </row>
    <row r="56" spans="1:44">
      <c r="A56" s="5"/>
      <c r="B56" s="338"/>
      <c r="C56" s="338"/>
      <c r="D56" s="338"/>
      <c r="E56" s="338"/>
      <c r="F56" s="7"/>
      <c r="G56" s="7"/>
      <c r="O56" s="492"/>
      <c r="R56" s="380" t="s">
        <v>201</v>
      </c>
      <c r="S56" s="381" t="s">
        <v>202</v>
      </c>
      <c r="T56" s="381" t="s">
        <v>203</v>
      </c>
      <c r="U56" s="382"/>
      <c r="AN56" s="702"/>
      <c r="AO56" s="702" t="s">
        <v>135</v>
      </c>
      <c r="AP56" s="718">
        <v>8127360.4951650007</v>
      </c>
      <c r="AQ56" s="735">
        <f t="shared" si="20"/>
        <v>6.4935064935064957E-2</v>
      </c>
    </row>
    <row r="57" spans="1:44">
      <c r="A57" s="5" t="s">
        <v>151</v>
      </c>
      <c r="B57" s="338"/>
      <c r="C57" s="338"/>
      <c r="D57" s="338"/>
      <c r="E57" s="338"/>
      <c r="F57" s="7"/>
      <c r="G57" s="7"/>
      <c r="O57" s="492"/>
      <c r="R57" s="383">
        <f>AI12</f>
        <v>143073933.40240002</v>
      </c>
      <c r="S57" s="384">
        <f>AI18</f>
        <v>2209528.1</v>
      </c>
      <c r="T57" s="384">
        <f>AI18*1.2</f>
        <v>2651433.7200000002</v>
      </c>
      <c r="U57" s="382"/>
      <c r="AN57" s="702"/>
      <c r="AO57" s="702" t="s">
        <v>136</v>
      </c>
      <c r="AP57" s="718">
        <v>13003776.792264</v>
      </c>
      <c r="AQ57" s="735">
        <f t="shared" si="20"/>
        <v>0.10389610389610392</v>
      </c>
    </row>
    <row r="58" spans="1:44">
      <c r="A58" s="5"/>
      <c r="B58" s="338" t="s">
        <v>320</v>
      </c>
      <c r="C58" s="338" t="s">
        <v>321</v>
      </c>
      <c r="D58" s="338" t="s">
        <v>322</v>
      </c>
      <c r="E58" s="338"/>
      <c r="F58" s="7"/>
      <c r="G58" s="7"/>
      <c r="O58" s="492"/>
      <c r="R58" s="385"/>
      <c r="S58" s="384"/>
      <c r="T58" s="384"/>
      <c r="U58" s="382"/>
      <c r="AN58" s="702"/>
      <c r="AO58" s="702"/>
      <c r="AP58" s="492"/>
      <c r="AQ58" s="492"/>
    </row>
    <row r="59" spans="1:44">
      <c r="A59" s="5"/>
      <c r="B59" s="338">
        <v>5000</v>
      </c>
      <c r="C59" s="338">
        <v>15000</v>
      </c>
      <c r="D59" s="338">
        <v>50000</v>
      </c>
      <c r="E59" s="338"/>
      <c r="F59" s="7">
        <f>SUM(B59:D59)</f>
        <v>70000</v>
      </c>
      <c r="G59" s="7">
        <f t="shared" si="19"/>
        <v>840000</v>
      </c>
      <c r="O59" s="492"/>
      <c r="R59" s="380" t="s">
        <v>209</v>
      </c>
      <c r="S59" s="381" t="s">
        <v>210</v>
      </c>
      <c r="T59" s="381" t="s">
        <v>211</v>
      </c>
      <c r="U59" s="386" t="s">
        <v>212</v>
      </c>
      <c r="AN59" s="702"/>
      <c r="AO59" s="729" t="s">
        <v>141</v>
      </c>
      <c r="AP59" s="731">
        <v>39279758.881851241</v>
      </c>
      <c r="AQ59" s="735">
        <f>SUM(AQ60:AQ65)</f>
        <v>1.0000000000000002</v>
      </c>
    </row>
    <row r="60" spans="1:44" ht="15.75" thickBot="1">
      <c r="A60" s="8"/>
      <c r="B60" s="341"/>
      <c r="C60" s="341"/>
      <c r="D60" s="341"/>
      <c r="E60" s="341"/>
      <c r="F60" s="342"/>
      <c r="G60" s="342"/>
      <c r="O60" s="492"/>
      <c r="R60" s="380">
        <v>0</v>
      </c>
      <c r="S60" s="387">
        <f t="shared" ref="S60:S65" si="21">$R$57</f>
        <v>143073933.40240002</v>
      </c>
      <c r="T60" s="387">
        <f t="shared" ref="T60:T65" si="22">$R$57+($S$57*R60)</f>
        <v>143073933.40240002</v>
      </c>
      <c r="U60" s="382">
        <f t="shared" ref="U60:U65" si="23">R60*$T$57</f>
        <v>0</v>
      </c>
      <c r="AA60" s="363"/>
      <c r="AN60" s="702"/>
      <c r="AO60" s="702" t="s">
        <v>142</v>
      </c>
      <c r="AP60" s="718">
        <v>14434302.040816326</v>
      </c>
      <c r="AQ60" s="735">
        <f>AP60/$AP$59</f>
        <v>0.36747430360336375</v>
      </c>
    </row>
    <row r="61" spans="1:44" ht="19.5" thickBot="1">
      <c r="A61" s="343" t="s">
        <v>323</v>
      </c>
      <c r="B61" s="344"/>
      <c r="C61" s="344"/>
      <c r="D61" s="344"/>
      <c r="E61" s="344"/>
      <c r="F61" s="345">
        <f>F47+F51+F55+F59</f>
        <v>895000</v>
      </c>
      <c r="G61" s="345">
        <f>G47+G51+G55+G59</f>
        <v>10740000</v>
      </c>
      <c r="O61" s="492"/>
      <c r="R61" s="380">
        <v>100</v>
      </c>
      <c r="S61" s="387">
        <f t="shared" si="21"/>
        <v>143073933.40240002</v>
      </c>
      <c r="T61" s="387">
        <f t="shared" si="22"/>
        <v>364026743.40240002</v>
      </c>
      <c r="U61" s="382">
        <f t="shared" si="23"/>
        <v>265143372.00000003</v>
      </c>
      <c r="AN61" s="702"/>
      <c r="AO61" s="702" t="s">
        <v>143</v>
      </c>
      <c r="AP61" s="718">
        <v>2059587.1631292515</v>
      </c>
      <c r="AQ61" s="735">
        <f t="shared" ref="AQ61:AQ65" si="24">AP61/$AP$59</f>
        <v>5.2433803611784895E-2</v>
      </c>
    </row>
    <row r="62" spans="1:44">
      <c r="O62" s="492"/>
      <c r="R62" s="380">
        <v>200</v>
      </c>
      <c r="S62" s="387">
        <f t="shared" si="21"/>
        <v>143073933.40240002</v>
      </c>
      <c r="T62" s="387">
        <f t="shared" si="22"/>
        <v>584979553.40240002</v>
      </c>
      <c r="U62" s="382">
        <f t="shared" si="23"/>
        <v>530286744.00000006</v>
      </c>
      <c r="AN62" s="702"/>
      <c r="AO62" s="702" t="s">
        <v>145</v>
      </c>
      <c r="AP62" s="718">
        <v>1618133.3333333333</v>
      </c>
      <c r="AQ62" s="735">
        <f t="shared" si="24"/>
        <v>4.1195093335488195E-2</v>
      </c>
    </row>
    <row r="63" spans="1:44" ht="15.75" thickBot="1">
      <c r="O63" s="492"/>
      <c r="R63" s="380">
        <v>300</v>
      </c>
      <c r="S63" s="387">
        <f t="shared" si="21"/>
        <v>143073933.40240002</v>
      </c>
      <c r="T63" s="387">
        <f t="shared" si="22"/>
        <v>805932363.40240002</v>
      </c>
      <c r="U63" s="382">
        <f t="shared" si="23"/>
        <v>795430116.00000012</v>
      </c>
      <c r="AN63" s="702"/>
      <c r="AO63" s="702" t="s">
        <v>136</v>
      </c>
      <c r="AP63" s="718">
        <v>5923968.6691278908</v>
      </c>
      <c r="AQ63" s="735">
        <f t="shared" si="24"/>
        <v>0.15081479209041154</v>
      </c>
      <c r="AR63" s="363"/>
    </row>
    <row r="64" spans="1:44">
      <c r="A64" s="354" t="s">
        <v>135</v>
      </c>
      <c r="B64" s="354"/>
      <c r="C64" s="355"/>
      <c r="D64" s="355"/>
      <c r="E64" s="355"/>
      <c r="F64" s="356"/>
      <c r="O64" s="492"/>
      <c r="R64" s="380">
        <v>400</v>
      </c>
      <c r="S64" s="387">
        <f t="shared" si="21"/>
        <v>143073933.40240002</v>
      </c>
      <c r="T64" s="387">
        <f t="shared" si="22"/>
        <v>1026885173.4024</v>
      </c>
      <c r="U64" s="382">
        <f t="shared" si="23"/>
        <v>1060573488.0000001</v>
      </c>
      <c r="AN64" s="702"/>
      <c r="AO64" s="702" t="s">
        <v>132</v>
      </c>
      <c r="AP64" s="718">
        <v>13740194.546192745</v>
      </c>
      <c r="AQ64" s="735">
        <f t="shared" si="24"/>
        <v>0.34980343406693476</v>
      </c>
    </row>
    <row r="65" spans="1:44">
      <c r="A65" s="357"/>
      <c r="B65" s="357"/>
      <c r="C65" s="358" t="s">
        <v>324</v>
      </c>
      <c r="D65" s="358" t="s">
        <v>325</v>
      </c>
      <c r="E65" s="358" t="s">
        <v>326</v>
      </c>
      <c r="F65" s="359" t="s">
        <v>195</v>
      </c>
      <c r="O65" s="492"/>
      <c r="R65" s="380">
        <v>500</v>
      </c>
      <c r="S65" s="387">
        <f t="shared" si="21"/>
        <v>143073933.40240002</v>
      </c>
      <c r="T65" s="387">
        <f t="shared" si="22"/>
        <v>1247837983.4024</v>
      </c>
      <c r="U65" s="382">
        <f t="shared" si="23"/>
        <v>1325716860</v>
      </c>
      <c r="AN65" s="702"/>
      <c r="AO65" s="702" t="s">
        <v>135</v>
      </c>
      <c r="AP65" s="718">
        <v>1503573.1292517006</v>
      </c>
      <c r="AQ65" s="735">
        <f t="shared" si="24"/>
        <v>3.8278573292017053E-2</v>
      </c>
    </row>
    <row r="66" spans="1:44">
      <c r="A66" s="357" t="s">
        <v>327</v>
      </c>
      <c r="B66" s="357"/>
      <c r="C66" s="358">
        <v>6000000</v>
      </c>
      <c r="D66" s="358">
        <v>500000</v>
      </c>
      <c r="E66" s="358">
        <v>400000</v>
      </c>
      <c r="F66" s="359">
        <f>SUM(C66:E66)</f>
        <v>6900000</v>
      </c>
      <c r="O66" s="492"/>
      <c r="R66" s="380"/>
      <c r="S66" s="387"/>
      <c r="T66" s="384"/>
      <c r="U66" s="382"/>
      <c r="AN66" s="702"/>
      <c r="AO66" s="702"/>
      <c r="AP66" s="492"/>
      <c r="AQ66" s="492"/>
    </row>
    <row r="67" spans="1:44" ht="15.75" thickBot="1">
      <c r="A67" s="360" t="s">
        <v>328</v>
      </c>
      <c r="B67" s="360"/>
      <c r="C67" s="361">
        <f>C66*1.13/12</f>
        <v>564999.99999999988</v>
      </c>
      <c r="D67" s="361">
        <f>D66/12</f>
        <v>41666.666666666664</v>
      </c>
      <c r="E67" s="361">
        <f>E66/12</f>
        <v>33333.333333333336</v>
      </c>
      <c r="F67" s="362">
        <f>SUM(C67:E67)</f>
        <v>639999.99999999988</v>
      </c>
      <c r="O67" s="492"/>
      <c r="R67" s="388"/>
      <c r="S67" s="389"/>
      <c r="T67" s="390"/>
      <c r="U67" s="391"/>
      <c r="AN67" s="702"/>
      <c r="AO67" s="729" t="s">
        <v>147</v>
      </c>
      <c r="AP67" s="731">
        <v>10765583.605442178</v>
      </c>
      <c r="AQ67" s="735">
        <f>SUM(AQ68:AQ71)</f>
        <v>1</v>
      </c>
    </row>
    <row r="68" spans="1:44">
      <c r="O68" s="492"/>
      <c r="AN68" s="702"/>
      <c r="AO68" s="702" t="s">
        <v>148</v>
      </c>
      <c r="AP68" s="718">
        <v>5112148.6394557822</v>
      </c>
      <c r="AQ68" s="735">
        <f>AP68/$AP$67</f>
        <v>0.47486033519553067</v>
      </c>
    </row>
    <row r="69" spans="1:44" ht="15.75" thickBot="1">
      <c r="O69" s="492"/>
      <c r="AN69" s="702"/>
      <c r="AO69" s="702" t="s">
        <v>149</v>
      </c>
      <c r="AP69" s="718">
        <v>3007146.2585034012</v>
      </c>
      <c r="AQ69" s="735">
        <f t="shared" ref="AQ69:AQ71" si="25">AP69/$AP$67</f>
        <v>0.27932960893854747</v>
      </c>
    </row>
    <row r="70" spans="1:44">
      <c r="A70" s="520" t="s">
        <v>132</v>
      </c>
      <c r="B70" s="521">
        <v>2</v>
      </c>
      <c r="C70" s="521" t="s">
        <v>155</v>
      </c>
      <c r="D70" s="521">
        <v>215</v>
      </c>
      <c r="E70" s="521" t="s">
        <v>119</v>
      </c>
      <c r="F70" s="521" t="s">
        <v>329</v>
      </c>
      <c r="G70" s="522">
        <v>20000</v>
      </c>
      <c r="I70" s="515" t="s">
        <v>278</v>
      </c>
      <c r="J70" s="516" t="s">
        <v>330</v>
      </c>
      <c r="K70" s="516">
        <v>750</v>
      </c>
      <c r="L70" s="516" t="s">
        <v>83</v>
      </c>
      <c r="M70" s="517" t="s">
        <v>331</v>
      </c>
      <c r="O70" s="492"/>
      <c r="R70" s="376"/>
      <c r="S70" s="363"/>
      <c r="AN70" s="702"/>
      <c r="AO70" s="702" t="s">
        <v>150</v>
      </c>
      <c r="AP70" s="718">
        <v>1804287.7551020407</v>
      </c>
      <c r="AQ70" s="735">
        <f t="shared" si="25"/>
        <v>0.16759776536312848</v>
      </c>
    </row>
    <row r="71" spans="1:44" ht="15.75" thickBot="1">
      <c r="A71" s="523"/>
      <c r="B71" s="524" t="s">
        <v>251</v>
      </c>
      <c r="C71" s="524" t="s">
        <v>332</v>
      </c>
      <c r="D71" s="524" t="s">
        <v>333</v>
      </c>
      <c r="E71" s="524" t="s">
        <v>334</v>
      </c>
      <c r="F71" s="524" t="s">
        <v>228</v>
      </c>
      <c r="G71" s="525"/>
      <c r="I71" s="365" t="s">
        <v>119</v>
      </c>
      <c r="J71" s="514">
        <f>D70</f>
        <v>215</v>
      </c>
      <c r="K71" s="514"/>
      <c r="L71" s="514" t="s">
        <v>236</v>
      </c>
      <c r="M71" s="372">
        <f>K39</f>
        <v>2771152.0000000061</v>
      </c>
      <c r="O71" s="492"/>
      <c r="R71" s="376"/>
      <c r="S71" s="363"/>
      <c r="AN71" s="702"/>
      <c r="AO71" s="703" t="s">
        <v>151</v>
      </c>
      <c r="AP71" s="725">
        <v>842000.95238095243</v>
      </c>
      <c r="AQ71" s="735">
        <f t="shared" si="25"/>
        <v>7.8212290502793297E-2</v>
      </c>
    </row>
    <row r="72" spans="1:44" ht="15.75" thickBot="1">
      <c r="A72" s="523" t="s">
        <v>335</v>
      </c>
      <c r="B72" s="524">
        <f>J74+M72</f>
        <v>243023.08333333384</v>
      </c>
      <c r="C72" s="524">
        <f>30790529.28/12</f>
        <v>2565877.44</v>
      </c>
      <c r="D72" s="524">
        <v>15000</v>
      </c>
      <c r="E72" s="524">
        <v>542399.99999999988</v>
      </c>
      <c r="F72" s="524">
        <f>SUM(B72:E72)</f>
        <v>3366300.5233333339</v>
      </c>
      <c r="G72" s="525"/>
      <c r="I72" s="365" t="s">
        <v>336</v>
      </c>
      <c r="J72" s="514">
        <f>J71*0.9</f>
        <v>193.5</v>
      </c>
      <c r="K72" s="514"/>
      <c r="L72" s="518" t="s">
        <v>246</v>
      </c>
      <c r="M72" s="366">
        <f>M71/12</f>
        <v>230929.33333333384</v>
      </c>
      <c r="O72" s="492"/>
      <c r="R72" s="234">
        <v>2026</v>
      </c>
      <c r="S72" s="378" t="s">
        <v>319</v>
      </c>
      <c r="T72" s="378" t="s">
        <v>198</v>
      </c>
      <c r="U72" s="379"/>
      <c r="AN72" s="702"/>
      <c r="AQ72" s="492"/>
    </row>
    <row r="73" spans="1:44">
      <c r="A73" s="523" t="s">
        <v>337</v>
      </c>
      <c r="B73" s="524"/>
      <c r="C73" s="524"/>
      <c r="D73" s="524"/>
      <c r="E73" s="524"/>
      <c r="F73" s="524">
        <f>F72*12</f>
        <v>40395606.280000009</v>
      </c>
      <c r="G73" s="525"/>
      <c r="I73" s="365" t="s">
        <v>338</v>
      </c>
      <c r="J73" s="514">
        <f>K70*J72</f>
        <v>145125</v>
      </c>
      <c r="K73" s="514"/>
      <c r="L73" s="514"/>
      <c r="M73" s="366"/>
      <c r="O73" s="492"/>
      <c r="R73" s="380" t="s">
        <v>201</v>
      </c>
      <c r="S73" s="381" t="s">
        <v>202</v>
      </c>
      <c r="T73" s="381" t="s">
        <v>203</v>
      </c>
      <c r="U73" s="382"/>
      <c r="AN73" s="702"/>
      <c r="AO73" s="727" t="s">
        <v>120</v>
      </c>
      <c r="AP73" s="732">
        <v>582152000</v>
      </c>
      <c r="AQ73" s="735">
        <f>SUM(AQ74:AQ78)</f>
        <v>1</v>
      </c>
      <c r="AR73" s="737">
        <f>AP73/AP39</f>
        <v>0.72356304267574001</v>
      </c>
    </row>
    <row r="74" spans="1:44" ht="15.75" thickBot="1">
      <c r="A74" s="523" t="s">
        <v>339</v>
      </c>
      <c r="B74" s="524"/>
      <c r="C74" s="524"/>
      <c r="D74" s="524"/>
      <c r="E74" s="524"/>
      <c r="F74" s="524"/>
      <c r="G74" s="525"/>
      <c r="I74" s="367" t="s">
        <v>340</v>
      </c>
      <c r="J74" s="519">
        <f>J73/12</f>
        <v>12093.75</v>
      </c>
      <c r="K74" s="519"/>
      <c r="L74" s="519"/>
      <c r="M74" s="373"/>
      <c r="O74" s="492"/>
      <c r="R74" s="383">
        <f>AJ12</f>
        <v>144742718.27242401</v>
      </c>
      <c r="S74" s="384">
        <f>AJ18</f>
        <v>2235261.91</v>
      </c>
      <c r="T74" s="384">
        <f>AJ18*1.2</f>
        <v>2682314.2919999999</v>
      </c>
      <c r="U74" s="382"/>
      <c r="AN74" s="702"/>
      <c r="AO74" s="702" t="s">
        <v>82</v>
      </c>
      <c r="AP74" s="492">
        <v>48900000</v>
      </c>
      <c r="AQ74" s="735">
        <f>AP74/$AP$73</f>
        <v>8.3998680756915717E-2</v>
      </c>
    </row>
    <row r="75" spans="1:44">
      <c r="A75" s="523"/>
      <c r="B75" s="524" t="s">
        <v>341</v>
      </c>
      <c r="C75" s="524" t="s">
        <v>342</v>
      </c>
      <c r="D75" s="524" t="s">
        <v>343</v>
      </c>
      <c r="E75" s="524"/>
      <c r="F75" s="524" t="s">
        <v>228</v>
      </c>
      <c r="G75" s="525"/>
      <c r="O75" s="492"/>
      <c r="R75" s="385"/>
      <c r="S75" s="384"/>
      <c r="T75" s="384"/>
      <c r="U75" s="382"/>
      <c r="AN75" s="702"/>
      <c r="AO75" s="702" t="s">
        <v>87</v>
      </c>
      <c r="AP75" s="492">
        <v>10812000</v>
      </c>
      <c r="AQ75" s="735">
        <f t="shared" ref="AQ75:AQ78" si="26">AP75/$AP$73</f>
        <v>1.8572469045884922E-2</v>
      </c>
    </row>
    <row r="76" spans="1:44" ht="15.75" thickBot="1">
      <c r="A76" s="526"/>
      <c r="B76" s="527">
        <v>150000</v>
      </c>
      <c r="C76" s="527">
        <v>100000</v>
      </c>
      <c r="D76" s="527">
        <v>1200000</v>
      </c>
      <c r="E76" s="527"/>
      <c r="F76" s="527">
        <f>SUM(B76:D76)</f>
        <v>1450000</v>
      </c>
      <c r="G76" s="528"/>
      <c r="O76" s="492"/>
      <c r="R76" s="380" t="s">
        <v>209</v>
      </c>
      <c r="S76" s="381" t="s">
        <v>210</v>
      </c>
      <c r="T76" s="381" t="s">
        <v>211</v>
      </c>
      <c r="U76" s="386" t="s">
        <v>212</v>
      </c>
      <c r="AN76" s="702"/>
      <c r="AO76" s="702" t="s">
        <v>99</v>
      </c>
      <c r="AP76" s="492">
        <v>371640000</v>
      </c>
      <c r="AQ76" s="735">
        <f t="shared" si="26"/>
        <v>0.63838997375255946</v>
      </c>
    </row>
    <row r="77" spans="1:44">
      <c r="O77" s="492"/>
      <c r="R77" s="380">
        <v>0</v>
      </c>
      <c r="S77" s="387">
        <f>$R$74</f>
        <v>144742718.27242401</v>
      </c>
      <c r="T77" s="387">
        <f>$R$74+($S$74*R77)</f>
        <v>144742718.27242401</v>
      </c>
      <c r="U77" s="382">
        <f>R77*$T$74</f>
        <v>0</v>
      </c>
      <c r="AN77" s="702"/>
      <c r="AO77" s="702" t="s">
        <v>107</v>
      </c>
      <c r="AP77" s="492">
        <v>54880000</v>
      </c>
      <c r="AQ77" s="735">
        <f t="shared" si="26"/>
        <v>9.4270912064203169E-2</v>
      </c>
    </row>
    <row r="78" spans="1:44" ht="15.75" thickBot="1">
      <c r="A78" s="488"/>
      <c r="B78" s="488"/>
      <c r="C78" s="488"/>
      <c r="D78" s="488"/>
      <c r="E78" s="488"/>
      <c r="F78" s="488"/>
      <c r="G78" s="488"/>
      <c r="H78" s="488"/>
      <c r="I78" s="488"/>
      <c r="J78" s="488"/>
      <c r="K78" s="488"/>
      <c r="L78" s="488"/>
      <c r="M78" s="488"/>
      <c r="N78" s="488"/>
      <c r="O78" s="493"/>
      <c r="R78" s="380">
        <v>100</v>
      </c>
      <c r="S78" s="387">
        <f t="shared" ref="S78:S82" si="27">$R$74</f>
        <v>144742718.27242401</v>
      </c>
      <c r="T78" s="387">
        <f t="shared" ref="T78:T82" si="28">$R$74+($S$74*R78)</f>
        <v>368268909.27242398</v>
      </c>
      <c r="U78" s="382">
        <f t="shared" ref="U78:U82" si="29">R78*$T$74</f>
        <v>268231429.19999999</v>
      </c>
      <c r="AN78" s="703"/>
      <c r="AO78" s="703" t="s">
        <v>110</v>
      </c>
      <c r="AP78" s="493">
        <v>95920000</v>
      </c>
      <c r="AQ78" s="751">
        <f t="shared" si="26"/>
        <v>0.16476796438043673</v>
      </c>
    </row>
    <row r="79" spans="1:44" ht="15.75" thickBot="1">
      <c r="O79" s="492"/>
      <c r="R79" s="380">
        <v>200</v>
      </c>
      <c r="S79" s="387">
        <f t="shared" si="27"/>
        <v>144742718.27242401</v>
      </c>
      <c r="T79" s="387">
        <f t="shared" si="28"/>
        <v>591795100.27242398</v>
      </c>
      <c r="U79" s="382">
        <f t="shared" si="29"/>
        <v>536462858.39999998</v>
      </c>
    </row>
    <row r="80" spans="1:44">
      <c r="A80" s="119"/>
      <c r="B80" s="56"/>
      <c r="C80" s="56"/>
      <c r="D80" s="56"/>
      <c r="E80" s="57"/>
      <c r="O80" s="492"/>
      <c r="R80" s="380">
        <v>300</v>
      </c>
      <c r="S80" s="387">
        <f t="shared" si="27"/>
        <v>144742718.27242401</v>
      </c>
      <c r="T80" s="387">
        <f t="shared" si="28"/>
        <v>815321291.27242398</v>
      </c>
      <c r="U80" s="382">
        <f t="shared" si="29"/>
        <v>804694287.60000002</v>
      </c>
    </row>
    <row r="81" spans="1:21">
      <c r="A81" s="261" t="s">
        <v>344</v>
      </c>
      <c r="B81" s="59"/>
      <c r="C81" s="59"/>
      <c r="D81" s="59"/>
      <c r="E81" s="60"/>
      <c r="O81" s="492"/>
      <c r="R81" s="380">
        <v>400</v>
      </c>
      <c r="S81" s="387">
        <f t="shared" si="27"/>
        <v>144742718.27242401</v>
      </c>
      <c r="T81" s="387">
        <f t="shared" si="28"/>
        <v>1038847482.272424</v>
      </c>
      <c r="U81" s="382">
        <f t="shared" si="29"/>
        <v>1072925716.8</v>
      </c>
    </row>
    <row r="82" spans="1:21" ht="15.75">
      <c r="A82" s="115"/>
      <c r="B82" s="59"/>
      <c r="C82" s="59"/>
      <c r="D82" s="262" t="s">
        <v>195</v>
      </c>
      <c r="E82" s="60"/>
      <c r="O82" s="492"/>
      <c r="R82" s="380">
        <v>500</v>
      </c>
      <c r="S82" s="387">
        <f t="shared" si="27"/>
        <v>144742718.27242401</v>
      </c>
      <c r="T82" s="387">
        <f t="shared" si="28"/>
        <v>1262373673.272424</v>
      </c>
      <c r="U82" s="382">
        <f t="shared" si="29"/>
        <v>1341157146</v>
      </c>
    </row>
    <row r="83" spans="1:21">
      <c r="A83" s="115" t="s">
        <v>345</v>
      </c>
      <c r="B83" s="59">
        <v>9</v>
      </c>
      <c r="C83" s="59" t="s">
        <v>117</v>
      </c>
      <c r="D83" s="59">
        <f>I4*B83</f>
        <v>4590000</v>
      </c>
      <c r="E83" s="60" t="s">
        <v>185</v>
      </c>
      <c r="O83" s="492"/>
      <c r="R83" s="380"/>
      <c r="S83" s="387"/>
      <c r="T83" s="384"/>
      <c r="U83" s="382"/>
    </row>
    <row r="84" spans="1:21" ht="15.75" thickBot="1">
      <c r="A84" s="115" t="s">
        <v>346</v>
      </c>
      <c r="B84" s="59">
        <v>265</v>
      </c>
      <c r="C84" s="59" t="s">
        <v>119</v>
      </c>
      <c r="D84" s="59">
        <f>B84*I8</f>
        <v>201400000</v>
      </c>
      <c r="E84" s="60" t="s">
        <v>185</v>
      </c>
      <c r="O84" s="492"/>
      <c r="R84" s="388"/>
      <c r="S84" s="389"/>
      <c r="T84" s="390"/>
      <c r="U84" s="391"/>
    </row>
    <row r="85" spans="1:21">
      <c r="A85" s="115" t="s">
        <v>347</v>
      </c>
      <c r="B85" s="59"/>
      <c r="C85" s="59"/>
      <c r="D85" s="59"/>
      <c r="E85" s="60"/>
      <c r="O85" s="492"/>
    </row>
    <row r="86" spans="1:21">
      <c r="A86" s="115" t="s">
        <v>348</v>
      </c>
      <c r="B86" s="59"/>
      <c r="C86" s="59"/>
      <c r="D86" s="59"/>
      <c r="E86" s="60"/>
      <c r="O86" s="492"/>
    </row>
    <row r="87" spans="1:21">
      <c r="A87" s="115">
        <v>4</v>
      </c>
      <c r="B87" s="59">
        <f>A87*E105</f>
        <v>24</v>
      </c>
      <c r="C87" s="59" t="s">
        <v>119</v>
      </c>
      <c r="D87" s="59">
        <f>B87*G15</f>
        <v>6720000</v>
      </c>
      <c r="E87" s="60" t="s">
        <v>185</v>
      </c>
      <c r="O87" s="492"/>
    </row>
    <row r="88" spans="1:21">
      <c r="A88" s="115" t="s">
        <v>349</v>
      </c>
      <c r="B88" s="59"/>
      <c r="C88" s="59"/>
      <c r="D88" s="59"/>
      <c r="E88" s="60"/>
      <c r="O88" s="492"/>
    </row>
    <row r="89" spans="1:21">
      <c r="A89" s="115">
        <v>4</v>
      </c>
      <c r="B89" s="59">
        <f>A89*E106</f>
        <v>60</v>
      </c>
      <c r="C89" s="59" t="s">
        <v>119</v>
      </c>
      <c r="D89" s="59">
        <f>B89*G15</f>
        <v>16800000</v>
      </c>
      <c r="E89" s="60" t="s">
        <v>185</v>
      </c>
      <c r="O89" s="492"/>
    </row>
    <row r="90" spans="1:21">
      <c r="A90" s="115" t="s">
        <v>350</v>
      </c>
      <c r="B90" s="59"/>
      <c r="C90" s="59"/>
      <c r="D90" s="59"/>
      <c r="E90" s="60"/>
      <c r="O90" s="492"/>
    </row>
    <row r="91" spans="1:21">
      <c r="A91" s="115">
        <v>2</v>
      </c>
      <c r="B91" s="59">
        <f>A91*E107</f>
        <v>4</v>
      </c>
      <c r="C91" s="59" t="s">
        <v>119</v>
      </c>
      <c r="D91" s="59">
        <f>B91*G15</f>
        <v>1120000</v>
      </c>
      <c r="E91" s="60" t="s">
        <v>185</v>
      </c>
      <c r="O91" s="492"/>
    </row>
    <row r="92" spans="1:21" ht="15.75" thickBot="1">
      <c r="A92" s="263" t="s">
        <v>351</v>
      </c>
      <c r="B92" s="264"/>
      <c r="C92" s="264"/>
      <c r="D92" s="265">
        <f>SUM(D83:D84,D87,D89,D91)</f>
        <v>230630000</v>
      </c>
      <c r="E92" s="266" t="s">
        <v>185</v>
      </c>
      <c r="O92" s="492"/>
    </row>
    <row r="93" spans="1:21" ht="15.75">
      <c r="A93" s="284" t="s">
        <v>352</v>
      </c>
      <c r="B93" s="285"/>
      <c r="C93" s="285"/>
      <c r="D93" s="286" t="s">
        <v>195</v>
      </c>
      <c r="E93" s="287"/>
      <c r="F93" s="321" t="s">
        <v>353</v>
      </c>
      <c r="G93" s="322">
        <f>G94*G95*G96-G98</f>
        <v>1248</v>
      </c>
      <c r="O93" s="492"/>
      <c r="R93" s="234" t="s">
        <v>224</v>
      </c>
      <c r="S93" s="378"/>
      <c r="T93" s="378"/>
      <c r="U93" s="536" t="s">
        <v>198</v>
      </c>
    </row>
    <row r="94" spans="1:21">
      <c r="A94" s="288" t="s">
        <v>354</v>
      </c>
      <c r="B94" s="289">
        <v>10000</v>
      </c>
      <c r="C94" s="289" t="s">
        <v>355</v>
      </c>
      <c r="D94" s="289">
        <f t="shared" ref="D94:D99" si="30">$G$93*B94</f>
        <v>12480000</v>
      </c>
      <c r="E94" s="290" t="s">
        <v>185</v>
      </c>
      <c r="F94" s="288" t="s">
        <v>88</v>
      </c>
      <c r="G94" s="290">
        <v>8</v>
      </c>
      <c r="O94" s="492"/>
      <c r="R94" s="380" t="s">
        <v>201</v>
      </c>
      <c r="S94" s="381" t="s">
        <v>356</v>
      </c>
      <c r="T94" s="534" t="s">
        <v>357</v>
      </c>
      <c r="U94" s="382"/>
    </row>
    <row r="95" spans="1:21">
      <c r="A95" s="288" t="s">
        <v>358</v>
      </c>
      <c r="B95" s="289">
        <v>15000</v>
      </c>
      <c r="C95" s="289" t="s">
        <v>355</v>
      </c>
      <c r="D95" s="289">
        <f t="shared" si="30"/>
        <v>18720000</v>
      </c>
      <c r="E95" s="290" t="s">
        <v>185</v>
      </c>
      <c r="F95" s="288" t="s">
        <v>359</v>
      </c>
      <c r="G95" s="290">
        <v>20</v>
      </c>
      <c r="O95" s="492"/>
      <c r="R95" s="383">
        <f>AVERAGE(AF12:AJ12)</f>
        <v>129572213.32808483</v>
      </c>
      <c r="S95" s="384">
        <f>AVERAGE(AF18:AJ18)</f>
        <v>1987640.7820000001</v>
      </c>
      <c r="T95" s="535">
        <f>AVERAGE(AF18:AJ18)*1.2</f>
        <v>2385168.9383999999</v>
      </c>
      <c r="U95" s="382"/>
    </row>
    <row r="96" spans="1:21">
      <c r="A96" s="288" t="s">
        <v>360</v>
      </c>
      <c r="B96" s="289">
        <f>D37</f>
        <v>7290.0000000000009</v>
      </c>
      <c r="C96" s="289" t="s">
        <v>355</v>
      </c>
      <c r="D96" s="289">
        <f t="shared" si="30"/>
        <v>9097920.0000000019</v>
      </c>
      <c r="E96" s="290" t="s">
        <v>185</v>
      </c>
      <c r="F96" s="288" t="s">
        <v>361</v>
      </c>
      <c r="G96" s="290">
        <v>8</v>
      </c>
      <c r="O96" s="492"/>
      <c r="R96" s="385"/>
      <c r="S96" s="384"/>
      <c r="T96" s="384"/>
      <c r="U96" s="537"/>
    </row>
    <row r="97" spans="1:21" ht="15.75" thickBot="1">
      <c r="A97" s="288" t="s">
        <v>316</v>
      </c>
      <c r="B97" s="289">
        <v>800</v>
      </c>
      <c r="C97" s="289" t="s">
        <v>355</v>
      </c>
      <c r="D97" s="289">
        <f t="shared" si="30"/>
        <v>998400</v>
      </c>
      <c r="E97" s="290" t="s">
        <v>185</v>
      </c>
      <c r="F97" s="299" t="s">
        <v>362</v>
      </c>
      <c r="G97" s="347" t="s">
        <v>363</v>
      </c>
      <c r="O97" s="492"/>
      <c r="R97" s="380" t="s">
        <v>209</v>
      </c>
      <c r="S97" s="381" t="s">
        <v>210</v>
      </c>
      <c r="T97" s="381" t="s">
        <v>211</v>
      </c>
      <c r="U97" s="386" t="s">
        <v>212</v>
      </c>
    </row>
    <row r="98" spans="1:21">
      <c r="A98" s="288" t="s">
        <v>295</v>
      </c>
      <c r="B98" s="289">
        <v>1500</v>
      </c>
      <c r="C98" s="289" t="s">
        <v>355</v>
      </c>
      <c r="D98" s="289">
        <f t="shared" si="30"/>
        <v>1872000</v>
      </c>
      <c r="E98" s="290" t="s">
        <v>185</v>
      </c>
      <c r="F98" s="348" t="s">
        <v>364</v>
      </c>
      <c r="G98" s="349">
        <f>8*4</f>
        <v>32</v>
      </c>
      <c r="O98" s="492"/>
      <c r="R98" s="380">
        <v>0</v>
      </c>
      <c r="S98" s="387">
        <f t="shared" ref="S98:S103" si="31">$R$95</f>
        <v>129572213.32808483</v>
      </c>
      <c r="T98" s="384">
        <f t="shared" ref="T98:T103" si="32">$R$95+(R98*$S$95)</f>
        <v>129572213.32808483</v>
      </c>
      <c r="U98" s="382">
        <f t="shared" ref="U98:U103" si="33">R98*$T$95</f>
        <v>0</v>
      </c>
    </row>
    <row r="99" spans="1:21">
      <c r="A99" s="288" t="s">
        <v>296</v>
      </c>
      <c r="B99" s="289">
        <v>500</v>
      </c>
      <c r="C99" s="289" t="s">
        <v>355</v>
      </c>
      <c r="D99" s="289">
        <f t="shared" si="30"/>
        <v>624000</v>
      </c>
      <c r="E99" s="290" t="s">
        <v>185</v>
      </c>
      <c r="F99" s="350" t="s">
        <v>365</v>
      </c>
      <c r="G99" s="351">
        <f>3*8</f>
        <v>24</v>
      </c>
      <c r="O99" s="492"/>
      <c r="R99" s="380">
        <v>100</v>
      </c>
      <c r="S99" s="387">
        <f t="shared" si="31"/>
        <v>129572213.32808483</v>
      </c>
      <c r="T99" s="384">
        <f t="shared" si="32"/>
        <v>328336291.52808487</v>
      </c>
      <c r="U99" s="382">
        <f t="shared" si="33"/>
        <v>238516893.83999997</v>
      </c>
    </row>
    <row r="100" spans="1:21">
      <c r="A100" s="291" t="s">
        <v>366</v>
      </c>
      <c r="B100" s="289"/>
      <c r="C100" s="289"/>
      <c r="D100" s="292">
        <f>SUM(D94:D99)</f>
        <v>43792320</v>
      </c>
      <c r="E100" s="290" t="s">
        <v>185</v>
      </c>
      <c r="F100" s="350" t="s">
        <v>367</v>
      </c>
      <c r="G100" s="351">
        <f>2*8</f>
        <v>16</v>
      </c>
      <c r="O100" s="492"/>
      <c r="R100" s="380">
        <v>200</v>
      </c>
      <c r="S100" s="387">
        <f t="shared" si="31"/>
        <v>129572213.32808483</v>
      </c>
      <c r="T100" s="384">
        <f t="shared" si="32"/>
        <v>527100369.72808486</v>
      </c>
      <c r="U100" s="382">
        <f t="shared" si="33"/>
        <v>477033787.67999995</v>
      </c>
    </row>
    <row r="101" spans="1:21" ht="15.75" thickBot="1">
      <c r="A101" s="293" t="s">
        <v>368</v>
      </c>
      <c r="B101" s="294"/>
      <c r="C101" s="294"/>
      <c r="D101" s="295">
        <f>SUM(D92,D100)</f>
        <v>274422320</v>
      </c>
      <c r="E101" s="296" t="s">
        <v>185</v>
      </c>
      <c r="F101" s="352" t="s">
        <v>369</v>
      </c>
      <c r="G101" s="353">
        <v>8</v>
      </c>
      <c r="O101" s="492"/>
      <c r="R101" s="380">
        <v>300</v>
      </c>
      <c r="S101" s="387">
        <f t="shared" si="31"/>
        <v>129572213.32808483</v>
      </c>
      <c r="T101" s="384">
        <f t="shared" si="32"/>
        <v>725864447.92808485</v>
      </c>
      <c r="U101" s="382">
        <f t="shared" si="33"/>
        <v>715550681.51999998</v>
      </c>
    </row>
    <row r="102" spans="1:21">
      <c r="O102" s="492"/>
      <c r="R102" s="380">
        <v>400</v>
      </c>
      <c r="S102" s="387">
        <f t="shared" si="31"/>
        <v>129572213.32808483</v>
      </c>
      <c r="T102" s="384">
        <f t="shared" si="32"/>
        <v>924628526.1280849</v>
      </c>
      <c r="U102" s="382">
        <f t="shared" si="33"/>
        <v>954067575.3599999</v>
      </c>
    </row>
    <row r="103" spans="1:21" ht="15.75" thickBot="1">
      <c r="O103" s="492"/>
      <c r="R103" s="380">
        <v>500</v>
      </c>
      <c r="S103" s="387">
        <f t="shared" si="31"/>
        <v>129572213.32808483</v>
      </c>
      <c r="T103" s="384">
        <f t="shared" si="32"/>
        <v>1123392604.3280849</v>
      </c>
      <c r="U103" s="382">
        <f t="shared" si="33"/>
        <v>1192584469.2</v>
      </c>
    </row>
    <row r="104" spans="1:21">
      <c r="A104" s="119" t="s">
        <v>370</v>
      </c>
      <c r="B104" s="56" t="s">
        <v>371</v>
      </c>
      <c r="C104" s="57"/>
      <c r="D104" s="119" t="s">
        <v>372</v>
      </c>
      <c r="E104" s="56"/>
      <c r="F104" s="57"/>
      <c r="O104" s="492"/>
      <c r="R104" s="380"/>
      <c r="S104" s="387"/>
      <c r="T104" s="384"/>
      <c r="U104" s="382"/>
    </row>
    <row r="105" spans="1:21" ht="15.75" thickBot="1">
      <c r="A105" s="115" t="s">
        <v>373</v>
      </c>
      <c r="B105" s="59">
        <v>15</v>
      </c>
      <c r="C105" s="60"/>
      <c r="D105" s="115" t="s">
        <v>374</v>
      </c>
      <c r="E105" s="59">
        <f>2*3</f>
        <v>6</v>
      </c>
      <c r="F105" s="60" t="s">
        <v>119</v>
      </c>
      <c r="O105" s="492"/>
      <c r="R105" s="388"/>
      <c r="S105" s="389"/>
      <c r="T105" s="390"/>
      <c r="U105" s="391"/>
    </row>
    <row r="106" spans="1:21">
      <c r="A106" s="115" t="s">
        <v>375</v>
      </c>
      <c r="B106" s="59">
        <v>25</v>
      </c>
      <c r="C106" s="60"/>
      <c r="D106" s="324" t="s">
        <v>349</v>
      </c>
      <c r="E106" s="264">
        <f>3*5</f>
        <v>15</v>
      </c>
      <c r="F106" s="266" t="s">
        <v>119</v>
      </c>
      <c r="O106" s="492"/>
    </row>
    <row r="107" spans="1:21">
      <c r="A107" s="78"/>
      <c r="B107" s="64">
        <f>B105*B106</f>
        <v>375</v>
      </c>
      <c r="C107" s="65"/>
      <c r="D107" s="78" t="s">
        <v>350</v>
      </c>
      <c r="E107" s="64">
        <f>1*2</f>
        <v>2</v>
      </c>
      <c r="F107" s="65" t="s">
        <v>119</v>
      </c>
      <c r="O107" s="492"/>
    </row>
    <row r="108" spans="1:21" ht="15.75">
      <c r="A108" s="323" t="s">
        <v>376</v>
      </c>
      <c r="B108" s="270"/>
      <c r="C108" s="271"/>
      <c r="D108" s="325" t="s">
        <v>377</v>
      </c>
      <c r="E108" s="326"/>
      <c r="O108" s="492"/>
    </row>
    <row r="109" spans="1:21" ht="15.75">
      <c r="A109" s="115" t="s">
        <v>378</v>
      </c>
      <c r="B109" s="59">
        <f>B107-(10*11)</f>
        <v>265</v>
      </c>
      <c r="C109" s="60" t="s">
        <v>379</v>
      </c>
      <c r="D109" s="327">
        <f>30*30</f>
        <v>900</v>
      </c>
      <c r="E109" s="328" t="s">
        <v>119</v>
      </c>
      <c r="O109" s="492"/>
    </row>
    <row r="110" spans="1:21">
      <c r="A110" s="115"/>
      <c r="B110" s="59"/>
      <c r="C110" s="60"/>
      <c r="O110" s="492"/>
    </row>
    <row r="111" spans="1:21">
      <c r="A111" s="115" t="s">
        <v>380</v>
      </c>
      <c r="B111" s="59">
        <v>4</v>
      </c>
      <c r="C111" s="60" t="s">
        <v>381</v>
      </c>
      <c r="O111" s="492"/>
    </row>
    <row r="112" spans="1:21">
      <c r="A112" s="78" t="s">
        <v>382</v>
      </c>
      <c r="B112" s="64">
        <v>3</v>
      </c>
      <c r="C112" s="65" t="s">
        <v>381</v>
      </c>
      <c r="O112" s="492"/>
    </row>
    <row r="113" spans="15:15">
      <c r="O113" s="492"/>
    </row>
    <row r="114" spans="15:15">
      <c r="O114" s="492"/>
    </row>
    <row r="115" spans="15:15">
      <c r="O115" s="492"/>
    </row>
    <row r="116" spans="15:15">
      <c r="O116" s="492"/>
    </row>
    <row r="117" spans="15:15">
      <c r="O117" s="492"/>
    </row>
    <row r="118" spans="15:15">
      <c r="O118" s="492"/>
    </row>
    <row r="119" spans="15:15">
      <c r="O119" s="492"/>
    </row>
    <row r="120" spans="15:15">
      <c r="O120" s="492"/>
    </row>
    <row r="121" spans="15:15">
      <c r="O121" s="492"/>
    </row>
    <row r="122" spans="15:15">
      <c r="O122" s="49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13CAF-1233-41AB-B782-8C3BEB833B40}">
  <sheetPr>
    <tabColor theme="8" tint="-0.499984740745262"/>
  </sheetPr>
  <dimension ref="B1:AA54"/>
  <sheetViews>
    <sheetView zoomScale="85" zoomScaleNormal="85" workbookViewId="0">
      <selection activeCell="K2" sqref="K2"/>
    </sheetView>
  </sheetViews>
  <sheetFormatPr defaultRowHeight="15"/>
  <cols>
    <col min="2" max="3" width="18.42578125" customWidth="1"/>
    <col min="4" max="4" width="18.28515625" customWidth="1"/>
    <col min="5" max="5" width="13.28515625" customWidth="1"/>
    <col min="6" max="6" width="10.42578125" customWidth="1"/>
    <col min="7" max="7" width="11.42578125" customWidth="1"/>
    <col min="8" max="8" width="11.7109375" customWidth="1"/>
    <col min="11" max="11" width="24" customWidth="1"/>
    <col min="12" max="12" width="12.85546875" customWidth="1"/>
    <col min="13" max="13" width="16.5703125" customWidth="1"/>
    <col min="14" max="14" width="21.140625" customWidth="1"/>
    <col min="15" max="15" width="17.42578125" customWidth="1"/>
    <col min="16" max="16" width="14.5703125" customWidth="1"/>
    <col min="17" max="17" width="14.42578125" customWidth="1"/>
    <col min="18" max="18" width="18" customWidth="1"/>
    <col min="19" max="19" width="24.85546875" customWidth="1"/>
    <col min="20" max="20" width="20.85546875" customWidth="1"/>
    <col min="21" max="21" width="16.140625" customWidth="1"/>
    <col min="22" max="22" width="14.7109375" customWidth="1"/>
    <col min="23" max="23" width="13.85546875" customWidth="1"/>
    <col min="24" max="24" width="20" customWidth="1"/>
    <col min="25" max="25" width="12.85546875" customWidth="1"/>
    <col min="26" max="26" width="15.28515625" customWidth="1"/>
    <col min="27" max="27" width="16.7109375" customWidth="1"/>
    <col min="28" max="28" width="15.85546875" customWidth="1"/>
  </cols>
  <sheetData>
    <row r="1" spans="2:27" ht="15.75" thickBot="1"/>
    <row r="2" spans="2:27">
      <c r="B2" s="564" t="s">
        <v>383</v>
      </c>
      <c r="C2" s="565"/>
      <c r="D2" s="565"/>
      <c r="E2" s="565"/>
      <c r="F2" s="565"/>
      <c r="G2" s="565"/>
      <c r="H2" s="566"/>
      <c r="K2" s="392" t="s">
        <v>384</v>
      </c>
      <c r="L2" s="393"/>
      <c r="M2" s="393"/>
      <c r="N2" s="393"/>
      <c r="O2" s="393"/>
      <c r="P2" s="394"/>
      <c r="T2" s="586" t="s">
        <v>171</v>
      </c>
      <c r="U2" s="587"/>
      <c r="V2" s="587"/>
      <c r="W2" s="587"/>
      <c r="X2" s="587"/>
      <c r="Y2" s="607"/>
      <c r="Z2" s="586" t="s">
        <v>385</v>
      </c>
      <c r="AA2" s="588" t="s">
        <v>386</v>
      </c>
    </row>
    <row r="3" spans="2:27">
      <c r="B3" s="567" t="s">
        <v>236</v>
      </c>
      <c r="C3" s="568"/>
      <c r="D3" s="568">
        <v>2020</v>
      </c>
      <c r="E3" s="568">
        <v>2021</v>
      </c>
      <c r="F3" s="568">
        <v>2022</v>
      </c>
      <c r="G3" s="568">
        <v>2023</v>
      </c>
      <c r="H3" s="569">
        <v>2024</v>
      </c>
      <c r="K3" s="395" t="s">
        <v>236</v>
      </c>
      <c r="L3" s="396"/>
      <c r="M3" s="396"/>
      <c r="N3" s="396"/>
      <c r="O3" s="396"/>
      <c r="P3" s="397"/>
      <c r="T3" s="589" t="s">
        <v>236</v>
      </c>
      <c r="U3" s="590"/>
      <c r="V3" s="590"/>
      <c r="W3" s="590"/>
      <c r="X3" s="590"/>
      <c r="Y3" s="608"/>
      <c r="Z3" s="589"/>
      <c r="AA3" s="591">
        <f>V6</f>
        <v>19200000</v>
      </c>
    </row>
    <row r="4" spans="2:27">
      <c r="B4" s="567" t="s">
        <v>387</v>
      </c>
      <c r="C4" s="568"/>
      <c r="D4" s="568"/>
      <c r="E4" s="568"/>
      <c r="F4" s="568"/>
      <c r="G4" s="568"/>
      <c r="H4" s="569"/>
      <c r="K4" s="395" t="s">
        <v>387</v>
      </c>
      <c r="L4" s="396"/>
      <c r="M4" s="396"/>
      <c r="N4" s="396"/>
      <c r="O4" s="396"/>
      <c r="P4" s="397"/>
      <c r="T4" s="589" t="s">
        <v>387</v>
      </c>
      <c r="U4" s="590"/>
      <c r="V4" s="590"/>
      <c r="W4" s="590" t="s">
        <v>268</v>
      </c>
      <c r="X4" s="590"/>
      <c r="Y4" s="608"/>
      <c r="Z4" s="589"/>
      <c r="AA4" s="591"/>
    </row>
    <row r="5" spans="2:27">
      <c r="B5" s="567"/>
      <c r="C5" s="568"/>
      <c r="D5" s="568"/>
      <c r="E5" s="568"/>
      <c r="F5" s="568"/>
      <c r="G5" s="568"/>
      <c r="H5" s="569"/>
      <c r="K5" s="395"/>
      <c r="L5" s="405" t="s">
        <v>117</v>
      </c>
      <c r="M5" s="405" t="s">
        <v>388</v>
      </c>
      <c r="N5" s="396" t="s">
        <v>389</v>
      </c>
      <c r="O5" s="396"/>
      <c r="P5" s="397" t="s">
        <v>390</v>
      </c>
      <c r="T5" s="589"/>
      <c r="U5" s="592" t="s">
        <v>391</v>
      </c>
      <c r="V5" s="592"/>
      <c r="W5" s="590"/>
      <c r="X5" s="590"/>
      <c r="Y5" s="608"/>
      <c r="Z5" s="589" t="s">
        <v>392</v>
      </c>
      <c r="AA5" s="591">
        <f>AA3-V20-W20-X20-Y20</f>
        <v>14080000</v>
      </c>
    </row>
    <row r="6" spans="2:27">
      <c r="B6" s="567" t="s">
        <v>136</v>
      </c>
      <c r="C6" s="568"/>
      <c r="D6" s="568">
        <v>218900000</v>
      </c>
      <c r="E6" s="568"/>
      <c r="F6" s="568"/>
      <c r="G6" s="568"/>
      <c r="H6" s="569"/>
      <c r="K6" s="583" t="s">
        <v>157</v>
      </c>
      <c r="L6" s="396">
        <v>3</v>
      </c>
      <c r="M6" s="396">
        <v>18000000</v>
      </c>
      <c r="N6" s="396">
        <f t="shared" ref="N6:N11" si="0">M6*0.2</f>
        <v>3600000</v>
      </c>
      <c r="O6" s="396">
        <f t="shared" ref="O6:O11" si="1">M6-N6</f>
        <v>14400000</v>
      </c>
      <c r="P6" s="397">
        <f t="shared" ref="P6:P11" si="2">O6/10</f>
        <v>1440000</v>
      </c>
      <c r="T6" s="593" t="s">
        <v>393</v>
      </c>
      <c r="U6" s="590">
        <v>2</v>
      </c>
      <c r="V6" s="590">
        <f>24000000*0.8</f>
        <v>19200000</v>
      </c>
      <c r="W6" s="590">
        <f>V6*0.2</f>
        <v>3840000</v>
      </c>
      <c r="X6" s="590">
        <f>V6-W6</f>
        <v>15360000</v>
      </c>
      <c r="Y6" s="608">
        <f>X6/12</f>
        <v>1280000</v>
      </c>
      <c r="Z6" s="589"/>
      <c r="AA6" s="591"/>
    </row>
    <row r="7" spans="2:27" ht="20.25" customHeight="1">
      <c r="B7" s="567"/>
      <c r="C7" s="568"/>
      <c r="D7" s="568"/>
      <c r="E7" s="568"/>
      <c r="F7" s="568"/>
      <c r="G7" s="568"/>
      <c r="H7" s="569"/>
      <c r="K7" s="584" t="s">
        <v>158</v>
      </c>
      <c r="L7" s="396">
        <v>4</v>
      </c>
      <c r="M7" s="396">
        <v>18656300</v>
      </c>
      <c r="N7" s="396">
        <f t="shared" si="0"/>
        <v>3731260</v>
      </c>
      <c r="O7" s="396">
        <f t="shared" si="1"/>
        <v>14925040</v>
      </c>
      <c r="P7" s="397">
        <f t="shared" si="2"/>
        <v>1492504</v>
      </c>
      <c r="T7" s="594"/>
      <c r="U7" s="595" t="s">
        <v>394</v>
      </c>
      <c r="V7" s="590"/>
      <c r="W7" s="590"/>
      <c r="X7" s="590"/>
      <c r="Y7" s="608"/>
      <c r="Z7" s="589" t="s">
        <v>395</v>
      </c>
      <c r="AA7" s="591">
        <v>2</v>
      </c>
    </row>
    <row r="8" spans="2:27" ht="15.75" thickBot="1">
      <c r="B8" s="570" t="s">
        <v>132</v>
      </c>
      <c r="C8" s="571"/>
      <c r="D8" s="571"/>
      <c r="E8" s="571">
        <f>G8*0.8</f>
        <v>103200000</v>
      </c>
      <c r="F8" s="571"/>
      <c r="G8" s="571">
        <v>129000000</v>
      </c>
      <c r="H8" s="572"/>
      <c r="K8" s="583" t="s">
        <v>159</v>
      </c>
      <c r="L8" s="396">
        <v>2</v>
      </c>
      <c r="M8" s="396">
        <v>120000000</v>
      </c>
      <c r="N8" s="396">
        <f t="shared" si="0"/>
        <v>24000000</v>
      </c>
      <c r="O8" s="396">
        <f t="shared" si="1"/>
        <v>96000000</v>
      </c>
      <c r="P8" s="397">
        <f t="shared" si="2"/>
        <v>9600000</v>
      </c>
      <c r="T8" s="593" t="s">
        <v>396</v>
      </c>
      <c r="U8" s="590">
        <v>1</v>
      </c>
      <c r="V8" s="590"/>
      <c r="W8" s="590"/>
      <c r="X8" s="590"/>
      <c r="Y8" s="608"/>
      <c r="Z8" s="589"/>
      <c r="AA8" s="591"/>
    </row>
    <row r="9" spans="2:27">
      <c r="K9" s="583" t="s">
        <v>160</v>
      </c>
      <c r="L9" s="396">
        <v>2</v>
      </c>
      <c r="M9" s="396">
        <v>22000000</v>
      </c>
      <c r="N9" s="396">
        <f t="shared" si="0"/>
        <v>4400000</v>
      </c>
      <c r="O9" s="396">
        <f t="shared" si="1"/>
        <v>17600000</v>
      </c>
      <c r="P9" s="397">
        <f t="shared" si="2"/>
        <v>1760000</v>
      </c>
      <c r="T9" s="593"/>
      <c r="U9" s="590"/>
      <c r="V9" s="590">
        <v>30000000</v>
      </c>
      <c r="W9" s="590">
        <f>V9*0.2</f>
        <v>6000000</v>
      </c>
      <c r="X9" s="590">
        <f>V9-W9</f>
        <v>24000000</v>
      </c>
      <c r="Y9" s="608">
        <f>X9/12</f>
        <v>2000000</v>
      </c>
      <c r="Z9" s="589" t="s">
        <v>397</v>
      </c>
      <c r="AA9" s="591">
        <f>AA5*AA7</f>
        <v>28160000</v>
      </c>
    </row>
    <row r="10" spans="2:27" ht="15.75" thickBot="1">
      <c r="K10" s="583" t="s">
        <v>161</v>
      </c>
      <c r="L10" s="396">
        <v>1</v>
      </c>
      <c r="M10" s="396">
        <v>30000000</v>
      </c>
      <c r="N10" s="396">
        <f t="shared" si="0"/>
        <v>6000000</v>
      </c>
      <c r="O10" s="396">
        <f t="shared" si="1"/>
        <v>24000000</v>
      </c>
      <c r="P10" s="397">
        <f t="shared" si="2"/>
        <v>2400000</v>
      </c>
      <c r="T10" s="593"/>
      <c r="U10" s="590"/>
      <c r="V10" s="590">
        <f>V9*0.8</f>
        <v>24000000</v>
      </c>
      <c r="W10" s="590">
        <f>W9*0.8</f>
        <v>4800000</v>
      </c>
      <c r="X10" s="590">
        <f>X9*0.8</f>
        <v>19200000</v>
      </c>
      <c r="Y10" s="608">
        <f>Y9*0.8</f>
        <v>1600000</v>
      </c>
      <c r="Z10" s="589"/>
      <c r="AA10" s="591"/>
    </row>
    <row r="11" spans="2:27" ht="15.75" thickBot="1">
      <c r="B11" s="564" t="s">
        <v>398</v>
      </c>
      <c r="C11" s="565"/>
      <c r="D11" s="565"/>
      <c r="E11" s="565"/>
      <c r="F11" s="565"/>
      <c r="G11" s="565"/>
      <c r="H11" s="566"/>
      <c r="K11" s="585" t="s">
        <v>384</v>
      </c>
      <c r="L11" s="398">
        <f>SUM(L6:L10)</f>
        <v>12</v>
      </c>
      <c r="M11" s="398">
        <f>SUM(M6:M10)</f>
        <v>208656300</v>
      </c>
      <c r="N11" s="398">
        <f t="shared" si="0"/>
        <v>41731260</v>
      </c>
      <c r="O11" s="398">
        <f t="shared" si="1"/>
        <v>166925040</v>
      </c>
      <c r="P11" s="399">
        <f t="shared" si="2"/>
        <v>16692504</v>
      </c>
      <c r="T11" s="596" t="s">
        <v>384</v>
      </c>
      <c r="U11" s="597"/>
      <c r="V11" s="597"/>
      <c r="W11" s="597"/>
      <c r="X11" s="597"/>
      <c r="Y11" s="609"/>
      <c r="Z11" s="599"/>
      <c r="AA11" s="598"/>
    </row>
    <row r="12" spans="2:27">
      <c r="B12" s="567" t="s">
        <v>236</v>
      </c>
      <c r="C12" s="568"/>
      <c r="D12" s="568">
        <v>2020</v>
      </c>
      <c r="E12" s="568">
        <v>2021</v>
      </c>
      <c r="F12" s="568">
        <v>2022</v>
      </c>
      <c r="G12" s="568">
        <v>2023</v>
      </c>
      <c r="H12" s="569">
        <v>2024</v>
      </c>
    </row>
    <row r="13" spans="2:27" ht="15.75" thickBot="1">
      <c r="B13" s="567" t="s">
        <v>136</v>
      </c>
      <c r="C13" s="568"/>
      <c r="D13" s="568"/>
      <c r="E13" s="568"/>
      <c r="F13" s="568"/>
      <c r="G13" s="568"/>
      <c r="H13" s="569"/>
    </row>
    <row r="14" spans="2:27">
      <c r="B14" s="567" t="s">
        <v>399</v>
      </c>
      <c r="C14" s="573">
        <v>0.02</v>
      </c>
      <c r="D14" s="568"/>
      <c r="E14" s="568"/>
      <c r="F14" s="568"/>
      <c r="G14" s="568"/>
      <c r="H14" s="569"/>
      <c r="K14" s="392" t="s">
        <v>400</v>
      </c>
      <c r="L14" s="393"/>
      <c r="M14" s="393"/>
      <c r="N14" s="393"/>
      <c r="O14" s="393"/>
      <c r="P14" s="393"/>
      <c r="Q14" s="393"/>
      <c r="R14" s="394"/>
      <c r="T14" s="586" t="s">
        <v>401</v>
      </c>
      <c r="U14" s="587"/>
      <c r="V14" s="587"/>
      <c r="W14" s="587"/>
      <c r="X14" s="587"/>
      <c r="Y14" s="587"/>
      <c r="Z14" s="588"/>
    </row>
    <row r="15" spans="2:27">
      <c r="B15" s="567" t="s">
        <v>386</v>
      </c>
      <c r="C15" s="568">
        <f>D6</f>
        <v>218900000</v>
      </c>
      <c r="D15" s="568"/>
      <c r="E15" s="568"/>
      <c r="F15" s="568"/>
      <c r="G15" s="568"/>
      <c r="H15" s="569"/>
      <c r="K15" s="395" t="s">
        <v>236</v>
      </c>
      <c r="L15" s="396"/>
      <c r="M15" s="396"/>
      <c r="N15" s="396">
        <v>2020</v>
      </c>
      <c r="O15" s="396">
        <v>2021</v>
      </c>
      <c r="P15" s="396">
        <v>2022</v>
      </c>
      <c r="Q15" s="396">
        <v>2023</v>
      </c>
      <c r="R15" s="397">
        <v>2024</v>
      </c>
      <c r="T15" s="589"/>
      <c r="U15" s="590"/>
      <c r="V15" s="590"/>
      <c r="W15" s="590"/>
      <c r="X15" s="590"/>
      <c r="Y15" s="590"/>
      <c r="Z15" s="591"/>
    </row>
    <row r="16" spans="2:27">
      <c r="B16" s="567" t="s">
        <v>163</v>
      </c>
      <c r="C16" s="568"/>
      <c r="D16" s="568">
        <f>$C$15*$C$14</f>
        <v>4378000</v>
      </c>
      <c r="E16" s="568">
        <f t="shared" ref="E16:H16" si="3">$C$15*$C$14</f>
        <v>4378000</v>
      </c>
      <c r="F16" s="568">
        <f t="shared" si="3"/>
        <v>4378000</v>
      </c>
      <c r="G16" s="568">
        <f t="shared" si="3"/>
        <v>4378000</v>
      </c>
      <c r="H16" s="569">
        <f t="shared" si="3"/>
        <v>4378000</v>
      </c>
      <c r="K16" s="583" t="s">
        <v>157</v>
      </c>
      <c r="L16" s="396"/>
      <c r="M16" s="396"/>
      <c r="N16" s="396"/>
      <c r="O16" s="396"/>
      <c r="P16" s="396"/>
      <c r="Q16" s="396"/>
      <c r="R16" s="397"/>
      <c r="T16" s="589" t="s">
        <v>207</v>
      </c>
      <c r="U16" s="590"/>
      <c r="V16" s="590">
        <v>2020</v>
      </c>
      <c r="W16" s="590">
        <v>2021</v>
      </c>
      <c r="X16" s="590">
        <v>2022</v>
      </c>
      <c r="Y16" s="590">
        <v>2023</v>
      </c>
      <c r="Z16" s="591">
        <v>2024</v>
      </c>
    </row>
    <row r="17" spans="2:26">
      <c r="B17" s="567"/>
      <c r="C17" s="568"/>
      <c r="D17" s="568">
        <f>SUM(D16)</f>
        <v>4378000</v>
      </c>
      <c r="E17" s="568">
        <f>SUM(D16:E16)</f>
        <v>8756000</v>
      </c>
      <c r="F17" s="568">
        <f>SUM(D16:F16)</f>
        <v>13134000</v>
      </c>
      <c r="G17" s="568">
        <f>SUM(D16:G16)</f>
        <v>17512000</v>
      </c>
      <c r="H17" s="568">
        <f>SUM(D16:H16)</f>
        <v>21890000</v>
      </c>
      <c r="K17" s="395" t="s">
        <v>117</v>
      </c>
      <c r="L17" s="396">
        <v>3</v>
      </c>
      <c r="M17" s="396"/>
      <c r="N17" s="396"/>
      <c r="O17" s="396"/>
      <c r="P17" s="396"/>
      <c r="Q17" s="396"/>
      <c r="R17" s="397"/>
      <c r="T17" s="589"/>
      <c r="U17" s="590"/>
      <c r="V17" s="590"/>
      <c r="W17" s="590"/>
      <c r="X17" s="590"/>
      <c r="Y17" s="590"/>
      <c r="Z17" s="591"/>
    </row>
    <row r="18" spans="2:26">
      <c r="B18" s="567" t="s">
        <v>402</v>
      </c>
      <c r="C18" s="568"/>
      <c r="D18" s="568"/>
      <c r="E18" s="568"/>
      <c r="F18" s="568"/>
      <c r="G18" s="568"/>
      <c r="H18" s="569"/>
      <c r="K18" s="395" t="s">
        <v>403</v>
      </c>
      <c r="L18" s="396"/>
      <c r="M18" s="396"/>
      <c r="N18" s="396"/>
      <c r="O18" s="396"/>
      <c r="P18" s="396">
        <f>$P$6</f>
        <v>1440000</v>
      </c>
      <c r="Q18" s="396">
        <f>$P$6</f>
        <v>1440000</v>
      </c>
      <c r="R18" s="397">
        <f>$P$6</f>
        <v>1440000</v>
      </c>
      <c r="T18" s="589" t="s">
        <v>393</v>
      </c>
      <c r="U18" s="590"/>
      <c r="V18" s="590"/>
      <c r="W18" s="590"/>
      <c r="X18" s="590"/>
      <c r="Y18" s="590"/>
      <c r="Z18" s="591"/>
    </row>
    <row r="19" spans="2:26">
      <c r="B19" s="567" t="s">
        <v>399</v>
      </c>
      <c r="C19" s="573">
        <v>0.05</v>
      </c>
      <c r="D19" s="568"/>
      <c r="E19" s="568"/>
      <c r="F19" s="568"/>
      <c r="G19" s="568"/>
      <c r="H19" s="569"/>
      <c r="K19" s="395" t="s">
        <v>404</v>
      </c>
      <c r="L19" s="396"/>
      <c r="M19" s="396"/>
      <c r="N19" s="396"/>
      <c r="O19" s="396"/>
      <c r="P19" s="396"/>
      <c r="Q19" s="396">
        <f>$P$6</f>
        <v>1440000</v>
      </c>
      <c r="R19" s="397">
        <f>$P$6</f>
        <v>1440000</v>
      </c>
      <c r="T19" s="589"/>
      <c r="U19" s="590"/>
      <c r="V19" s="590"/>
      <c r="W19" s="590"/>
      <c r="X19" s="590"/>
      <c r="Y19" s="590"/>
      <c r="Z19" s="591"/>
    </row>
    <row r="20" spans="2:26">
      <c r="B20" s="567" t="s">
        <v>405</v>
      </c>
      <c r="C20" s="568">
        <f>E8</f>
        <v>103200000</v>
      </c>
      <c r="D20" s="568"/>
      <c r="E20" s="568">
        <f>$C$20*$C$19</f>
        <v>5160000</v>
      </c>
      <c r="F20" s="568">
        <f t="shared" ref="F20:H20" si="4">$C$20*$C$19</f>
        <v>5160000</v>
      </c>
      <c r="G20" s="568">
        <f t="shared" si="4"/>
        <v>5160000</v>
      </c>
      <c r="H20" s="569">
        <f t="shared" si="4"/>
        <v>5160000</v>
      </c>
      <c r="K20" s="395" t="s">
        <v>406</v>
      </c>
      <c r="L20" s="396"/>
      <c r="M20" s="396"/>
      <c r="N20" s="396"/>
      <c r="O20" s="396"/>
      <c r="P20" s="396"/>
      <c r="Q20" s="396"/>
      <c r="R20" s="397">
        <f>$P$6</f>
        <v>1440000</v>
      </c>
      <c r="T20" s="589" t="s">
        <v>407</v>
      </c>
      <c r="U20" s="590"/>
      <c r="V20" s="590">
        <f t="shared" ref="V20:Y21" si="5">$Y$6</f>
        <v>1280000</v>
      </c>
      <c r="W20" s="590">
        <f t="shared" si="5"/>
        <v>1280000</v>
      </c>
      <c r="X20" s="590">
        <f t="shared" si="5"/>
        <v>1280000</v>
      </c>
      <c r="Y20" s="590">
        <f t="shared" si="5"/>
        <v>1280000</v>
      </c>
      <c r="Z20" s="591"/>
    </row>
    <row r="21" spans="2:26">
      <c r="B21" s="567" t="s">
        <v>408</v>
      </c>
      <c r="C21" s="568">
        <f>G8</f>
        <v>129000000</v>
      </c>
      <c r="D21" s="568"/>
      <c r="E21" s="568"/>
      <c r="F21" s="568"/>
      <c r="G21" s="568"/>
      <c r="H21" s="569"/>
      <c r="K21" s="395"/>
      <c r="L21" s="396"/>
      <c r="M21" s="396"/>
      <c r="N21" s="396"/>
      <c r="O21" s="396"/>
      <c r="P21" s="396"/>
      <c r="Q21" s="396"/>
      <c r="R21" s="397"/>
      <c r="T21" s="589" t="s">
        <v>409</v>
      </c>
      <c r="U21" s="590"/>
      <c r="V21" s="590">
        <f t="shared" si="5"/>
        <v>1280000</v>
      </c>
      <c r="W21" s="590">
        <f t="shared" si="5"/>
        <v>1280000</v>
      </c>
      <c r="X21" s="590">
        <f t="shared" si="5"/>
        <v>1280000</v>
      </c>
      <c r="Y21" s="590">
        <f t="shared" si="5"/>
        <v>1280000</v>
      </c>
      <c r="Z21" s="591"/>
    </row>
    <row r="22" spans="2:26">
      <c r="B22" s="567" t="s">
        <v>163</v>
      </c>
      <c r="C22" s="568"/>
      <c r="D22" s="568"/>
      <c r="E22" s="568"/>
      <c r="F22" s="568"/>
      <c r="G22" s="568">
        <f>$C$21*$C$19</f>
        <v>6450000</v>
      </c>
      <c r="H22" s="569">
        <f>$C$21*$C$19</f>
        <v>6450000</v>
      </c>
      <c r="K22" s="584" t="s">
        <v>158</v>
      </c>
      <c r="L22" s="396"/>
      <c r="M22" s="396"/>
      <c r="N22" s="396"/>
      <c r="O22" s="396"/>
      <c r="P22" s="396"/>
      <c r="Q22" s="396"/>
      <c r="R22" s="397"/>
      <c r="T22" s="589"/>
      <c r="U22" s="590"/>
      <c r="V22" s="590"/>
      <c r="W22" s="590"/>
      <c r="X22" s="590"/>
      <c r="Y22" s="590"/>
      <c r="Z22" s="591"/>
    </row>
    <row r="23" spans="2:26">
      <c r="B23" s="567"/>
      <c r="C23" s="568"/>
      <c r="D23" s="568"/>
      <c r="E23" s="568"/>
      <c r="F23" s="568">
        <f>SUM(E20:F20)</f>
        <v>10320000</v>
      </c>
      <c r="G23" s="569">
        <f>SUM(E20:G20,F22:G22)</f>
        <v>21930000</v>
      </c>
      <c r="H23" s="569">
        <f>SUM(E20:H20,E22:H22)</f>
        <v>33540000</v>
      </c>
      <c r="K23" s="395" t="s">
        <v>117</v>
      </c>
      <c r="L23" s="396">
        <v>4</v>
      </c>
      <c r="M23" s="396"/>
      <c r="N23" s="396"/>
      <c r="O23" s="396"/>
      <c r="P23" s="396"/>
      <c r="Q23" s="396"/>
      <c r="R23" s="397"/>
      <c r="T23" s="589" t="s">
        <v>396</v>
      </c>
      <c r="U23" s="590"/>
      <c r="V23" s="590"/>
      <c r="W23" s="590"/>
      <c r="X23" s="590"/>
      <c r="Y23" s="590"/>
      <c r="Z23" s="591"/>
    </row>
    <row r="24" spans="2:26" ht="15.75" thickBot="1">
      <c r="B24" s="570" t="s">
        <v>195</v>
      </c>
      <c r="C24" s="571"/>
      <c r="D24" s="571">
        <f>SUM(D16:D22)</f>
        <v>8756000</v>
      </c>
      <c r="E24" s="571">
        <f>SUM(E16:E22)</f>
        <v>18294000</v>
      </c>
      <c r="F24" s="571">
        <f t="shared" ref="F24:H24" si="6">SUM(F16:F22)</f>
        <v>22672000</v>
      </c>
      <c r="G24" s="571">
        <f t="shared" si="6"/>
        <v>33500000</v>
      </c>
      <c r="H24" s="572">
        <f t="shared" si="6"/>
        <v>37878000</v>
      </c>
      <c r="K24" s="584" t="s">
        <v>410</v>
      </c>
      <c r="L24" s="396"/>
      <c r="M24" s="396"/>
      <c r="N24" s="396"/>
      <c r="O24" s="396"/>
      <c r="P24" s="396"/>
      <c r="Q24" s="396">
        <f>$P$7</f>
        <v>1492504</v>
      </c>
      <c r="R24" s="397">
        <f>$P$7</f>
        <v>1492504</v>
      </c>
      <c r="T24" s="589"/>
      <c r="U24" s="590"/>
      <c r="V24" s="590"/>
      <c r="W24" s="590"/>
      <c r="X24" s="590"/>
      <c r="Y24" s="590"/>
      <c r="Z24" s="591"/>
    </row>
    <row r="25" spans="2:26">
      <c r="K25" s="584" t="s">
        <v>411</v>
      </c>
      <c r="L25" s="396"/>
      <c r="M25" s="396"/>
      <c r="N25" s="396"/>
      <c r="O25" s="396"/>
      <c r="P25" s="396"/>
      <c r="Q25" s="396">
        <f>$P$7</f>
        <v>1492504</v>
      </c>
      <c r="R25" s="397">
        <f>$P$7</f>
        <v>1492504</v>
      </c>
      <c r="T25" s="589" t="s">
        <v>412</v>
      </c>
      <c r="U25" s="590"/>
      <c r="V25" s="590">
        <f>$Y$10</f>
        <v>1600000</v>
      </c>
      <c r="W25" s="590">
        <f>$Y$10</f>
        <v>1600000</v>
      </c>
      <c r="X25" s="590">
        <f>$Y$10</f>
        <v>1600000</v>
      </c>
      <c r="Y25" s="590">
        <f>$Y$10</f>
        <v>1600000</v>
      </c>
      <c r="Z25" s="591">
        <f>$Y$10</f>
        <v>1600000</v>
      </c>
    </row>
    <row r="26" spans="2:26" ht="15.75" thickBot="1">
      <c r="K26" s="584" t="s">
        <v>413</v>
      </c>
      <c r="L26" s="396"/>
      <c r="M26" s="396"/>
      <c r="N26" s="396"/>
      <c r="O26" s="396"/>
      <c r="P26" s="396"/>
      <c r="Q26" s="396"/>
      <c r="R26" s="397">
        <f>$P$7</f>
        <v>1492504</v>
      </c>
      <c r="T26" s="589" t="s">
        <v>414</v>
      </c>
      <c r="U26" s="590"/>
      <c r="V26" s="590"/>
      <c r="W26" s="590"/>
      <c r="X26" s="590"/>
      <c r="Y26" s="590"/>
      <c r="Z26" s="591">
        <f>$Y$9</f>
        <v>2000000</v>
      </c>
    </row>
    <row r="27" spans="2:26">
      <c r="B27" s="574" t="s">
        <v>415</v>
      </c>
      <c r="C27" s="575"/>
      <c r="D27" s="575"/>
      <c r="E27" s="575"/>
      <c r="F27" s="575"/>
      <c r="G27" s="575"/>
      <c r="H27" s="576"/>
      <c r="K27" s="584" t="s">
        <v>416</v>
      </c>
      <c r="L27" s="396"/>
      <c r="M27" s="396"/>
      <c r="N27" s="396"/>
      <c r="O27" s="396"/>
      <c r="P27" s="396"/>
      <c r="Q27" s="396"/>
      <c r="R27" s="397">
        <f>$P$7</f>
        <v>1492504</v>
      </c>
      <c r="T27" s="589" t="s">
        <v>417</v>
      </c>
      <c r="U27" s="590"/>
      <c r="V27" s="590"/>
      <c r="W27" s="590"/>
      <c r="X27" s="590"/>
      <c r="Y27" s="590"/>
      <c r="Z27" s="591">
        <f>$Y$9</f>
        <v>2000000</v>
      </c>
    </row>
    <row r="28" spans="2:26">
      <c r="B28" s="577"/>
      <c r="C28" s="578"/>
      <c r="D28" s="578"/>
      <c r="E28" s="578"/>
      <c r="F28" s="578"/>
      <c r="G28" s="578"/>
      <c r="H28" s="579"/>
      <c r="K28" s="395"/>
      <c r="L28" s="396"/>
      <c r="M28" s="396"/>
      <c r="N28" s="396"/>
      <c r="O28" s="396"/>
      <c r="P28" s="396"/>
      <c r="Q28" s="396"/>
      <c r="R28" s="397"/>
      <c r="T28" s="589"/>
      <c r="U28" s="590"/>
      <c r="V28" s="590"/>
      <c r="W28" s="590"/>
      <c r="X28" s="590"/>
      <c r="Y28" s="590"/>
      <c r="Z28" s="591"/>
    </row>
    <row r="29" spans="2:26" ht="15.75" thickBot="1">
      <c r="B29" s="577" t="s">
        <v>386</v>
      </c>
      <c r="C29" s="578"/>
      <c r="D29" s="578" t="s">
        <v>418</v>
      </c>
      <c r="E29" s="578"/>
      <c r="F29" s="578" t="s">
        <v>419</v>
      </c>
      <c r="G29" s="578" t="s">
        <v>399</v>
      </c>
      <c r="H29" s="579"/>
      <c r="K29" s="583" t="s">
        <v>159</v>
      </c>
      <c r="L29" s="396"/>
      <c r="M29" s="396"/>
      <c r="N29" s="396"/>
      <c r="O29" s="396"/>
      <c r="P29" s="396"/>
      <c r="Q29" s="396"/>
      <c r="R29" s="397"/>
      <c r="T29" s="599" t="s">
        <v>420</v>
      </c>
      <c r="U29" s="597"/>
      <c r="V29" s="597">
        <f>SUM(V20:V27)</f>
        <v>4160000</v>
      </c>
      <c r="W29" s="597">
        <f>SUM(W20:W27)</f>
        <v>4160000</v>
      </c>
      <c r="X29" s="597">
        <f>SUM(X20:X27)</f>
        <v>4160000</v>
      </c>
      <c r="Y29" s="597">
        <f>SUM(Y20:Y27)</f>
        <v>4160000</v>
      </c>
      <c r="Z29" s="598">
        <f>SUM(Z20:Z27)</f>
        <v>5600000</v>
      </c>
    </row>
    <row r="30" spans="2:26" ht="15.75" thickBot="1">
      <c r="B30" s="580"/>
      <c r="C30" s="581">
        <v>12500000</v>
      </c>
      <c r="D30" s="581">
        <f>C30*0.1</f>
        <v>1250000</v>
      </c>
      <c r="E30" s="581">
        <f>C30-D30</f>
        <v>11250000</v>
      </c>
      <c r="F30" s="581">
        <v>5</v>
      </c>
      <c r="G30" s="581">
        <f>E30/F30</f>
        <v>2250000</v>
      </c>
      <c r="H30" s="582"/>
      <c r="K30" s="395" t="s">
        <v>117</v>
      </c>
      <c r="L30" s="396">
        <v>2</v>
      </c>
      <c r="M30" s="396"/>
      <c r="N30" s="396"/>
      <c r="O30" s="396"/>
      <c r="P30" s="396"/>
      <c r="Q30" s="396"/>
      <c r="R30" s="397"/>
    </row>
    <row r="31" spans="2:26">
      <c r="K31" s="583" t="s">
        <v>421</v>
      </c>
      <c r="L31" s="396"/>
      <c r="M31" s="396"/>
      <c r="N31" s="396"/>
      <c r="O31" s="396"/>
      <c r="P31" s="396"/>
      <c r="Q31" s="396"/>
      <c r="R31" s="397">
        <f>$P$8</f>
        <v>9600000</v>
      </c>
    </row>
    <row r="32" spans="2:26">
      <c r="K32" s="583" t="s">
        <v>422</v>
      </c>
      <c r="L32" s="396"/>
      <c r="M32" s="396"/>
      <c r="N32" s="396"/>
      <c r="O32" s="396"/>
      <c r="P32" s="396"/>
      <c r="Q32" s="396"/>
      <c r="R32" s="397">
        <f>$P$8</f>
        <v>9600000</v>
      </c>
    </row>
    <row r="33" spans="3:18">
      <c r="C33" s="748" t="s">
        <v>423</v>
      </c>
      <c r="D33" s="749">
        <v>2022</v>
      </c>
      <c r="E33" s="748">
        <v>2023</v>
      </c>
      <c r="F33" s="748">
        <v>2024</v>
      </c>
      <c r="K33" s="395"/>
      <c r="L33" s="396"/>
      <c r="M33" s="396"/>
      <c r="N33" s="396"/>
      <c r="O33" s="396"/>
      <c r="P33" s="396"/>
      <c r="Q33" s="396"/>
      <c r="R33" s="397"/>
    </row>
    <row r="34" spans="3:18">
      <c r="D34" s="748">
        <v>218900000</v>
      </c>
      <c r="E34" s="748">
        <v>218900000</v>
      </c>
      <c r="F34" s="748">
        <v>218900000</v>
      </c>
      <c r="K34" s="583" t="s">
        <v>160</v>
      </c>
      <c r="L34" s="396"/>
      <c r="M34" s="396"/>
      <c r="N34" s="396"/>
      <c r="O34" s="396"/>
      <c r="P34" s="396"/>
      <c r="Q34" s="396"/>
      <c r="R34" s="397"/>
    </row>
    <row r="35" spans="3:18">
      <c r="D35" s="748">
        <v>103200000</v>
      </c>
      <c r="E35" s="748">
        <v>103200000</v>
      </c>
      <c r="F35" s="748">
        <v>103200000</v>
      </c>
      <c r="K35" s="395" t="s">
        <v>424</v>
      </c>
      <c r="L35" s="396">
        <v>2</v>
      </c>
      <c r="M35" s="396"/>
      <c r="N35" s="396"/>
      <c r="O35" s="396"/>
      <c r="P35" s="396"/>
      <c r="Q35" s="396"/>
      <c r="R35" s="397"/>
    </row>
    <row r="36" spans="3:18">
      <c r="D36" s="748"/>
      <c r="E36" s="748">
        <v>129000000</v>
      </c>
      <c r="F36" s="748"/>
      <c r="K36" s="583" t="s">
        <v>425</v>
      </c>
      <c r="L36" s="396"/>
      <c r="M36" s="396"/>
      <c r="N36" s="396"/>
      <c r="O36" s="396"/>
      <c r="P36" s="396"/>
      <c r="Q36" s="396"/>
      <c r="R36" s="397">
        <f>$P$9</f>
        <v>1760000</v>
      </c>
    </row>
    <row r="37" spans="3:18">
      <c r="D37" s="748">
        <v>12500000</v>
      </c>
      <c r="E37" s="748">
        <v>12500000</v>
      </c>
      <c r="F37" s="748">
        <v>12500000</v>
      </c>
      <c r="K37" s="583" t="s">
        <v>426</v>
      </c>
      <c r="L37" s="396"/>
      <c r="M37" s="396"/>
      <c r="N37" s="396"/>
      <c r="O37" s="396"/>
      <c r="P37" s="396"/>
      <c r="Q37" s="396"/>
      <c r="R37" s="397">
        <f>$P$9</f>
        <v>1760000</v>
      </c>
    </row>
    <row r="38" spans="3:18">
      <c r="D38" s="748"/>
      <c r="E38" s="748"/>
      <c r="F38" s="748">
        <v>60000000</v>
      </c>
      <c r="K38" s="395"/>
      <c r="L38" s="396"/>
      <c r="M38" s="396"/>
      <c r="N38" s="396"/>
      <c r="O38" s="396"/>
      <c r="P38" s="396"/>
      <c r="Q38" s="396"/>
      <c r="R38" s="397"/>
    </row>
    <row r="39" spans="3:18">
      <c r="D39" s="748">
        <v>18000000</v>
      </c>
      <c r="E39" s="748"/>
      <c r="F39" s="748"/>
      <c r="K39" s="583" t="s">
        <v>161</v>
      </c>
      <c r="L39" s="396"/>
      <c r="M39" s="396"/>
      <c r="N39" s="396"/>
      <c r="O39" s="396"/>
      <c r="P39" s="396"/>
      <c r="Q39" s="396"/>
      <c r="R39" s="397"/>
    </row>
    <row r="40" spans="3:18">
      <c r="D40" s="748">
        <v>30000000</v>
      </c>
      <c r="E40" s="748"/>
      <c r="F40" s="748"/>
      <c r="K40" s="395" t="s">
        <v>424</v>
      </c>
      <c r="L40" s="396">
        <v>1</v>
      </c>
      <c r="M40" s="396"/>
      <c r="N40" s="396"/>
      <c r="O40" s="396"/>
      <c r="P40" s="396"/>
      <c r="Q40" s="396"/>
      <c r="R40" s="397"/>
    </row>
    <row r="41" spans="3:18">
      <c r="D41" s="748">
        <v>18000000</v>
      </c>
      <c r="E41" s="748"/>
      <c r="F41" s="748"/>
      <c r="K41" s="583" t="s">
        <v>161</v>
      </c>
      <c r="L41" s="396"/>
      <c r="M41" s="396"/>
      <c r="N41" s="396"/>
      <c r="O41" s="396"/>
      <c r="P41" s="396">
        <f>$P$10</f>
        <v>2400000</v>
      </c>
      <c r="Q41" s="396">
        <f>$P$10</f>
        <v>2400000</v>
      </c>
      <c r="R41" s="397">
        <f>$P$10</f>
        <v>2400000</v>
      </c>
    </row>
    <row r="42" spans="3:18">
      <c r="D42" s="748">
        <v>37312600</v>
      </c>
      <c r="E42" s="748"/>
      <c r="F42" s="748"/>
      <c r="K42" s="395"/>
      <c r="L42" s="396"/>
      <c r="M42" s="396"/>
      <c r="N42" s="396"/>
      <c r="O42" s="396"/>
      <c r="P42" s="396"/>
      <c r="Q42" s="396"/>
      <c r="R42" s="397"/>
    </row>
    <row r="43" spans="3:18" ht="15.75" thickBot="1">
      <c r="D43" s="748"/>
      <c r="E43" s="748"/>
      <c r="F43" s="748">
        <v>339312600</v>
      </c>
      <c r="K43" s="403" t="s">
        <v>195</v>
      </c>
      <c r="L43" s="398"/>
      <c r="M43" s="398"/>
      <c r="N43" s="398">
        <f>SUM(N18:N41)</f>
        <v>0</v>
      </c>
      <c r="O43" s="398">
        <f>SUM(O18:O41)</f>
        <v>0</v>
      </c>
      <c r="P43" s="398">
        <f>SUM(P18:P41)</f>
        <v>3840000</v>
      </c>
      <c r="Q43" s="398">
        <f>SUM(Q18:Q41)</f>
        <v>8265008</v>
      </c>
      <c r="R43" s="399">
        <f>SUM(R18:R41)</f>
        <v>35410016</v>
      </c>
    </row>
    <row r="44" spans="3:18">
      <c r="D44" s="748"/>
      <c r="E44" s="748"/>
      <c r="F44" s="748"/>
    </row>
    <row r="45" spans="3:18">
      <c r="D45" s="748"/>
      <c r="E45" s="748"/>
      <c r="F45" s="748"/>
    </row>
    <row r="46" spans="3:18">
      <c r="D46" s="748"/>
      <c r="E46" s="748"/>
      <c r="F46" s="748">
        <v>-28160000</v>
      </c>
    </row>
    <row r="47" spans="3:18">
      <c r="D47" s="748">
        <v>-13134000</v>
      </c>
      <c r="E47" s="748">
        <v>-17512000</v>
      </c>
      <c r="F47" s="748">
        <v>-21890000</v>
      </c>
    </row>
    <row r="48" spans="3:18">
      <c r="D48" s="748">
        <v>-10320000</v>
      </c>
      <c r="E48" s="748">
        <v>-21930000</v>
      </c>
      <c r="F48" s="748">
        <v>-33540000</v>
      </c>
    </row>
    <row r="49" spans="4:6">
      <c r="D49" s="748">
        <v>-2250000</v>
      </c>
      <c r="E49" s="748">
        <v>-2250000</v>
      </c>
      <c r="F49" s="748">
        <v>-2250000</v>
      </c>
    </row>
    <row r="50" spans="4:6">
      <c r="D50" s="748">
        <v>-3840000</v>
      </c>
      <c r="E50" s="748">
        <v>-8265008</v>
      </c>
      <c r="F50" s="748">
        <v>-35410016</v>
      </c>
    </row>
    <row r="51" spans="4:6">
      <c r="D51" s="748">
        <v>-4160000</v>
      </c>
      <c r="E51" s="748">
        <v>-4160000</v>
      </c>
      <c r="F51" s="748">
        <v>-5600000</v>
      </c>
    </row>
    <row r="52" spans="4:6">
      <c r="D52" s="748"/>
      <c r="E52" s="748"/>
      <c r="F52" s="748"/>
    </row>
    <row r="53" spans="4:6">
      <c r="D53" s="748">
        <f>SUM(D34:D51)</f>
        <v>404208600</v>
      </c>
      <c r="E53" s="748">
        <f>SUM(E34:E51)</f>
        <v>409482992</v>
      </c>
      <c r="F53" s="748">
        <f t="shared" ref="F53" si="7">SUM(F34:F51)</f>
        <v>607062584</v>
      </c>
    </row>
    <row r="54" spans="4:6">
      <c r="D54" s="748"/>
      <c r="E54" s="748"/>
      <c r="F54" s="748"/>
    </row>
  </sheetData>
  <phoneticPr fontId="5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035-78FB-4D47-81CF-EB43703FDDD3}">
  <sheetPr>
    <tabColor theme="1" tint="0.499984740745262"/>
  </sheetPr>
  <dimension ref="A1:N38"/>
  <sheetViews>
    <sheetView workbookViewId="0">
      <selection activeCell="F19" sqref="F19"/>
    </sheetView>
  </sheetViews>
  <sheetFormatPr defaultRowHeight="15"/>
  <cols>
    <col min="1" max="1" width="23.7109375" bestFit="1" customWidth="1"/>
    <col min="2" max="2" width="36" bestFit="1" customWidth="1"/>
    <col min="4" max="4" width="12.5703125" customWidth="1"/>
    <col min="5" max="5" width="13" customWidth="1"/>
    <col min="6" max="6" width="14.7109375" customWidth="1"/>
    <col min="7" max="7" width="15.7109375" customWidth="1"/>
    <col min="8" max="8" width="15.5703125" customWidth="1"/>
    <col min="10" max="10" width="9.85546875" customWidth="1"/>
    <col min="11" max="11" width="9" customWidth="1"/>
    <col min="12" max="12" width="9.85546875" customWidth="1"/>
    <col min="13" max="13" width="13.28515625" customWidth="1"/>
    <col min="14" max="14" width="14.28515625" customWidth="1"/>
  </cols>
  <sheetData>
    <row r="1" spans="1:14">
      <c r="A1" s="826" t="s">
        <v>427</v>
      </c>
      <c r="B1" s="826"/>
      <c r="D1" s="524">
        <v>2022</v>
      </c>
      <c r="E1" s="524">
        <v>2023</v>
      </c>
      <c r="F1" s="524">
        <v>2024</v>
      </c>
      <c r="G1" s="524">
        <v>2025</v>
      </c>
      <c r="H1" s="524">
        <v>2026</v>
      </c>
      <c r="J1" s="524">
        <v>2022</v>
      </c>
      <c r="K1" s="524">
        <v>2023</v>
      </c>
      <c r="L1" s="524">
        <v>2024</v>
      </c>
      <c r="M1" s="524">
        <v>2025</v>
      </c>
      <c r="N1" s="524">
        <v>2026</v>
      </c>
    </row>
    <row r="2" spans="1:14">
      <c r="A2" s="563" t="s">
        <v>428</v>
      </c>
      <c r="B2" s="603"/>
      <c r="D2" s="829">
        <f>Összefoglaló!E124</f>
        <v>4625850.340136054</v>
      </c>
      <c r="E2" s="829">
        <f>Összefoglaló!F124</f>
        <v>4857142.8571428573</v>
      </c>
      <c r="F2" s="829">
        <f>Összefoglaló!G124</f>
        <v>5100000</v>
      </c>
      <c r="G2" s="829">
        <f>Összefoglaló!H124</f>
        <v>5355000</v>
      </c>
      <c r="H2" s="829">
        <f>Összefoglaló!I124</f>
        <v>5622750</v>
      </c>
      <c r="J2" s="832">
        <f>D2/D10</f>
        <v>0.47486033519553073</v>
      </c>
      <c r="K2" s="832">
        <f>E2/E10</f>
        <v>0.47486033519553073</v>
      </c>
      <c r="L2" s="832">
        <f>F2/F10</f>
        <v>0.47486033519553073</v>
      </c>
      <c r="M2" s="832">
        <f>G2/G10</f>
        <v>0.47486033519553073</v>
      </c>
      <c r="N2" s="832">
        <f>H2/H10</f>
        <v>0.47486033519553073</v>
      </c>
    </row>
    <row r="3" spans="1:14">
      <c r="A3" s="524" t="s">
        <v>148</v>
      </c>
      <c r="B3" s="603" t="s">
        <v>429</v>
      </c>
      <c r="D3" s="831"/>
      <c r="E3" s="831"/>
      <c r="F3" s="831"/>
      <c r="G3" s="831"/>
      <c r="H3" s="831"/>
      <c r="J3" s="834"/>
      <c r="K3" s="834"/>
      <c r="L3" s="834"/>
      <c r="M3" s="834"/>
      <c r="N3" s="834"/>
    </row>
    <row r="4" spans="1:14">
      <c r="A4" s="524"/>
      <c r="B4" s="603" t="s">
        <v>430</v>
      </c>
      <c r="D4" s="830"/>
      <c r="E4" s="830"/>
      <c r="F4" s="830"/>
      <c r="G4" s="830"/>
      <c r="H4" s="830"/>
      <c r="J4" s="833"/>
      <c r="K4" s="833"/>
      <c r="L4" s="833"/>
      <c r="M4" s="833"/>
      <c r="N4" s="833"/>
    </row>
    <row r="5" spans="1:14">
      <c r="A5" s="524"/>
      <c r="B5" s="603" t="s">
        <v>431</v>
      </c>
      <c r="D5" s="829">
        <f>Összefoglaló!E125</f>
        <v>2721088.4353741491</v>
      </c>
      <c r="E5" s="829">
        <f>Összefoglaló!F125</f>
        <v>2857142.8571428568</v>
      </c>
      <c r="F5" s="829">
        <f>Összefoglaló!G125</f>
        <v>3000000</v>
      </c>
      <c r="G5" s="829">
        <f>Összefoglaló!H125</f>
        <v>3150000</v>
      </c>
      <c r="H5" s="829">
        <f>Összefoglaló!I125</f>
        <v>3307500</v>
      </c>
      <c r="J5" s="832">
        <f>D5/D10</f>
        <v>0.27932960893854747</v>
      </c>
      <c r="K5" s="832">
        <f>E5/E10</f>
        <v>0.27932960893854741</v>
      </c>
      <c r="L5" s="832">
        <f>F5/F10</f>
        <v>0.27932960893854747</v>
      </c>
      <c r="M5" s="832">
        <f>G5/G10</f>
        <v>0.27932960893854747</v>
      </c>
      <c r="N5" s="832">
        <f>H5/H10</f>
        <v>0.27932960893854747</v>
      </c>
    </row>
    <row r="6" spans="1:14">
      <c r="A6" s="524" t="s">
        <v>432</v>
      </c>
      <c r="B6" s="603" t="s">
        <v>433</v>
      </c>
      <c r="D6" s="830"/>
      <c r="E6" s="830"/>
      <c r="F6" s="830"/>
      <c r="G6" s="830"/>
      <c r="H6" s="830"/>
      <c r="J6" s="833"/>
      <c r="K6" s="833"/>
      <c r="L6" s="833"/>
      <c r="M6" s="833"/>
      <c r="N6" s="833"/>
    </row>
    <row r="7" spans="1:14">
      <c r="A7" s="524"/>
      <c r="B7" s="603" t="s">
        <v>434</v>
      </c>
      <c r="D7" s="604">
        <f>Összefoglaló!E126</f>
        <v>1632653.0612244897</v>
      </c>
      <c r="E7" s="604">
        <f>Összefoglaló!F126</f>
        <v>1714285.7142857143</v>
      </c>
      <c r="F7" s="604">
        <f>Összefoglaló!G126</f>
        <v>1800000</v>
      </c>
      <c r="G7" s="604">
        <f>Összefoglaló!H126</f>
        <v>1890000</v>
      </c>
      <c r="H7" s="604">
        <f>Összefoglaló!I126</f>
        <v>1984500</v>
      </c>
      <c r="J7" s="606">
        <f>D7/D10</f>
        <v>0.16759776536312851</v>
      </c>
      <c r="K7" s="606">
        <f>E7/E10</f>
        <v>0.16759776536312848</v>
      </c>
      <c r="L7" s="606">
        <f>F7/F10</f>
        <v>0.16759776536312848</v>
      </c>
      <c r="M7" s="606">
        <f>G7/G10</f>
        <v>0.16759776536312848</v>
      </c>
      <c r="N7" s="606">
        <f>H7/H10</f>
        <v>0.16759776536312848</v>
      </c>
    </row>
    <row r="8" spans="1:14">
      <c r="A8" s="524" t="s">
        <v>150</v>
      </c>
      <c r="B8" s="603" t="s">
        <v>435</v>
      </c>
      <c r="D8" s="829">
        <f>Összefoglaló!E127</f>
        <v>761904.76190476189</v>
      </c>
      <c r="E8" s="829">
        <f>Összefoglaló!F127</f>
        <v>800000</v>
      </c>
      <c r="F8" s="829">
        <f>Összefoglaló!G127</f>
        <v>840000</v>
      </c>
      <c r="G8" s="829">
        <f>Összefoglaló!H127</f>
        <v>882000</v>
      </c>
      <c r="H8" s="829">
        <f>Összefoglaló!I127</f>
        <v>926100</v>
      </c>
      <c r="J8" s="832">
        <f>D8/D10</f>
        <v>7.8212290502793297E-2</v>
      </c>
      <c r="K8" s="832">
        <f>E8/E10</f>
        <v>7.8212290502793297E-2</v>
      </c>
      <c r="L8" s="832">
        <f>F8/F10</f>
        <v>7.8212290502793297E-2</v>
      </c>
      <c r="M8" s="832">
        <f>G8/G10</f>
        <v>7.8212290502793297E-2</v>
      </c>
      <c r="N8" s="832">
        <f>H8/H10</f>
        <v>7.8212290502793297E-2</v>
      </c>
    </row>
    <row r="9" spans="1:14">
      <c r="A9" s="524" t="s">
        <v>436</v>
      </c>
      <c r="B9" s="603" t="s">
        <v>437</v>
      </c>
      <c r="D9" s="830"/>
      <c r="E9" s="830"/>
      <c r="F9" s="830"/>
      <c r="G9" s="830"/>
      <c r="H9" s="830"/>
      <c r="J9" s="833"/>
      <c r="K9" s="833"/>
      <c r="L9" s="833"/>
      <c r="M9" s="833"/>
      <c r="N9" s="833"/>
    </row>
    <row r="10" spans="1:14">
      <c r="A10" s="524"/>
      <c r="B10" s="603" t="s">
        <v>438</v>
      </c>
      <c r="D10" s="604">
        <f>SUM(D2:D9)</f>
        <v>9741496.5986394547</v>
      </c>
      <c r="E10" s="604">
        <f>SUM(E2:E9)</f>
        <v>10228571.428571429</v>
      </c>
      <c r="F10" s="604">
        <f>SUM(F2:F9)</f>
        <v>10740000</v>
      </c>
      <c r="G10" s="604">
        <f>SUM(G2:G9)</f>
        <v>11277000</v>
      </c>
      <c r="H10" s="604">
        <f>SUM(H2:H9)</f>
        <v>11840850</v>
      </c>
      <c r="J10" s="606">
        <f>SUM(J2:J9)</f>
        <v>1</v>
      </c>
      <c r="K10" s="606">
        <f>SUM(K2:K9)</f>
        <v>1</v>
      </c>
      <c r="L10" s="606">
        <f>SUM(L2:L9)</f>
        <v>1</v>
      </c>
      <c r="M10" s="606">
        <f>SUM(M2:M9)</f>
        <v>1</v>
      </c>
      <c r="N10" s="606">
        <f>SUM(N2:N9)</f>
        <v>1</v>
      </c>
    </row>
    <row r="12" spans="1:14">
      <c r="A12" s="561" t="s">
        <v>439</v>
      </c>
      <c r="B12" s="562"/>
    </row>
    <row r="13" spans="1:14">
      <c r="A13" s="562" t="s">
        <v>440</v>
      </c>
      <c r="B13" s="562" t="s">
        <v>441</v>
      </c>
    </row>
    <row r="14" spans="1:14">
      <c r="A14" s="562"/>
      <c r="B14" s="562" t="s">
        <v>442</v>
      </c>
    </row>
    <row r="15" spans="1:14">
      <c r="A15" s="562" t="s">
        <v>443</v>
      </c>
      <c r="B15" s="562" t="s">
        <v>444</v>
      </c>
    </row>
    <row r="16" spans="1:14">
      <c r="A16" s="562"/>
      <c r="B16" s="562" t="s">
        <v>445</v>
      </c>
    </row>
    <row r="17" spans="1:2">
      <c r="A17" s="562" t="s">
        <v>446</v>
      </c>
      <c r="B17" s="562"/>
    </row>
    <row r="18" spans="1:2">
      <c r="A18" s="562" t="s">
        <v>447</v>
      </c>
      <c r="B18" s="562" t="s">
        <v>448</v>
      </c>
    </row>
    <row r="19" spans="1:2">
      <c r="A19" s="562"/>
      <c r="B19" s="562" t="s">
        <v>449</v>
      </c>
    </row>
    <row r="21" spans="1:2">
      <c r="A21" s="601" t="s">
        <v>450</v>
      </c>
      <c r="B21" s="827" t="s">
        <v>451</v>
      </c>
    </row>
    <row r="22" spans="1:2">
      <c r="A22" s="602" t="s">
        <v>452</v>
      </c>
      <c r="B22" s="827"/>
    </row>
    <row r="23" spans="1:2">
      <c r="A23" s="602" t="s">
        <v>453</v>
      </c>
      <c r="B23" s="827"/>
    </row>
    <row r="24" spans="1:2">
      <c r="A24" s="602" t="s">
        <v>454</v>
      </c>
      <c r="B24" s="828"/>
    </row>
    <row r="26" spans="1:2">
      <c r="A26" s="610" t="s">
        <v>455</v>
      </c>
      <c r="B26" s="600"/>
    </row>
    <row r="27" spans="1:2">
      <c r="A27" s="614"/>
      <c r="B27" s="611" t="s">
        <v>456</v>
      </c>
    </row>
    <row r="28" spans="1:2">
      <c r="A28" s="615" t="s">
        <v>457</v>
      </c>
      <c r="B28" s="612" t="s">
        <v>458</v>
      </c>
    </row>
    <row r="29" spans="1:2">
      <c r="A29" s="613"/>
      <c r="B29" s="611" t="s">
        <v>459</v>
      </c>
    </row>
    <row r="30" spans="1:2">
      <c r="A30" s="616"/>
      <c r="B30" s="611" t="s">
        <v>460</v>
      </c>
    </row>
    <row r="31" spans="1:2">
      <c r="A31" s="617" t="s">
        <v>461</v>
      </c>
      <c r="B31" s="612" t="s">
        <v>462</v>
      </c>
    </row>
    <row r="32" spans="1:2">
      <c r="A32" s="619"/>
      <c r="B32" s="611" t="s">
        <v>463</v>
      </c>
    </row>
    <row r="33" spans="1:2">
      <c r="A33" s="616"/>
      <c r="B33" s="611" t="s">
        <v>464</v>
      </c>
    </row>
    <row r="34" spans="1:2">
      <c r="A34" s="617" t="s">
        <v>465</v>
      </c>
      <c r="B34" s="612" t="s">
        <v>466</v>
      </c>
    </row>
    <row r="35" spans="1:2">
      <c r="A35" s="619"/>
      <c r="B35" s="611" t="s">
        <v>467</v>
      </c>
    </row>
    <row r="36" spans="1:2">
      <c r="A36" s="616"/>
      <c r="B36" s="616" t="s">
        <v>468</v>
      </c>
    </row>
    <row r="37" spans="1:2">
      <c r="A37" s="617" t="s">
        <v>469</v>
      </c>
      <c r="B37" s="620" t="s">
        <v>470</v>
      </c>
    </row>
    <row r="38" spans="1:2">
      <c r="A38" s="618"/>
      <c r="B38" s="618" t="s">
        <v>471</v>
      </c>
    </row>
  </sheetData>
  <mergeCells count="32">
    <mergeCell ref="M5:M6"/>
    <mergeCell ref="N5:N6"/>
    <mergeCell ref="J2:J4"/>
    <mergeCell ref="K2:K4"/>
    <mergeCell ref="L2:L4"/>
    <mergeCell ref="M2:M4"/>
    <mergeCell ref="N2:N4"/>
    <mergeCell ref="G2:G4"/>
    <mergeCell ref="H2:H4"/>
    <mergeCell ref="J5:J6"/>
    <mergeCell ref="K5:K6"/>
    <mergeCell ref="L5:L6"/>
    <mergeCell ref="J8:J9"/>
    <mergeCell ref="K8:K9"/>
    <mergeCell ref="L8:L9"/>
    <mergeCell ref="M8:M9"/>
    <mergeCell ref="N8:N9"/>
    <mergeCell ref="G8:G9"/>
    <mergeCell ref="H8:H9"/>
    <mergeCell ref="D5:D6"/>
    <mergeCell ref="E5:E6"/>
    <mergeCell ref="F5:F6"/>
    <mergeCell ref="G5:G6"/>
    <mergeCell ref="H5:H6"/>
    <mergeCell ref="A1:B1"/>
    <mergeCell ref="B21:B24"/>
    <mergeCell ref="D8:D9"/>
    <mergeCell ref="E8:E9"/>
    <mergeCell ref="F8:F9"/>
    <mergeCell ref="D2:D4"/>
    <mergeCell ref="E2:E4"/>
    <mergeCell ref="F2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83CCD-68C6-4229-98D7-B9BD880E458E}">
  <sheetPr>
    <tabColor theme="7" tint="-0.499984740745262"/>
  </sheetPr>
  <dimension ref="A1:P14"/>
  <sheetViews>
    <sheetView topLeftCell="F1" workbookViewId="0">
      <selection activeCell="L19" sqref="L19"/>
    </sheetView>
  </sheetViews>
  <sheetFormatPr defaultRowHeight="15"/>
  <cols>
    <col min="2" max="2" width="25.7109375" customWidth="1"/>
    <col min="3" max="3" width="29.140625" customWidth="1"/>
    <col min="4" max="4" width="35.42578125" customWidth="1"/>
    <col min="5" max="5" width="17.28515625" bestFit="1" customWidth="1"/>
    <col min="6" max="6" width="14.85546875" bestFit="1" customWidth="1"/>
    <col min="7" max="7" width="15.5703125" customWidth="1"/>
    <col min="8" max="8" width="12.5703125" customWidth="1"/>
    <col min="9" max="9" width="11.7109375" customWidth="1"/>
    <col min="11" max="11" width="17.5703125" customWidth="1"/>
    <col min="12" max="12" width="39.140625" customWidth="1"/>
    <col min="13" max="14" width="17.28515625" bestFit="1" customWidth="1"/>
    <col min="15" max="15" width="16.85546875" bestFit="1" customWidth="1"/>
    <col min="16" max="16" width="12.42578125" customWidth="1"/>
  </cols>
  <sheetData>
    <row r="1" spans="1:16">
      <c r="A1" t="s">
        <v>472</v>
      </c>
    </row>
    <row r="2" spans="1:16">
      <c r="B2" t="s">
        <v>384</v>
      </c>
      <c r="F2" s="396">
        <v>1</v>
      </c>
      <c r="G2" s="396">
        <f>D7</f>
        <v>18000000</v>
      </c>
      <c r="H2" s="396">
        <f>F2*G2</f>
        <v>18000000</v>
      </c>
      <c r="I2" s="396"/>
    </row>
    <row r="3" spans="1:16">
      <c r="B3" s="392" t="s">
        <v>384</v>
      </c>
      <c r="C3" s="393"/>
      <c r="D3" s="393"/>
      <c r="F3" s="396">
        <v>2</v>
      </c>
      <c r="G3" s="396">
        <f>D8</f>
        <v>18656300</v>
      </c>
      <c r="H3" s="396">
        <f t="shared" ref="H3:H5" si="0">F3*G3</f>
        <v>37312600</v>
      </c>
      <c r="I3" s="396"/>
    </row>
    <row r="4" spans="1:16">
      <c r="B4" s="395" t="s">
        <v>236</v>
      </c>
      <c r="C4" s="396"/>
      <c r="D4" s="396"/>
      <c r="F4" s="396">
        <v>2</v>
      </c>
      <c r="G4" s="396">
        <f>D9</f>
        <v>120000000</v>
      </c>
      <c r="H4" s="396">
        <f t="shared" si="0"/>
        <v>240000000</v>
      </c>
      <c r="I4" s="396"/>
      <c r="K4" s="687" t="s">
        <v>473</v>
      </c>
      <c r="L4" s="688" t="s">
        <v>73</v>
      </c>
      <c r="M4" s="688" t="s">
        <v>73</v>
      </c>
      <c r="N4" s="688" t="s">
        <v>73</v>
      </c>
      <c r="O4" s="688" t="s">
        <v>73</v>
      </c>
      <c r="P4" s="688" t="s">
        <v>73</v>
      </c>
    </row>
    <row r="5" spans="1:16">
      <c r="B5" s="395" t="s">
        <v>387</v>
      </c>
      <c r="C5" s="396"/>
      <c r="D5" s="396"/>
      <c r="F5" s="396">
        <v>2</v>
      </c>
      <c r="G5" s="396">
        <f>D10</f>
        <v>22000000</v>
      </c>
      <c r="H5" s="396">
        <f t="shared" si="0"/>
        <v>44000000</v>
      </c>
      <c r="I5" s="396"/>
      <c r="K5" s="689" t="s">
        <v>474</v>
      </c>
      <c r="L5" s="690" t="s">
        <v>475</v>
      </c>
      <c r="M5" s="690" t="s">
        <v>476</v>
      </c>
      <c r="N5" s="690" t="s">
        <v>477</v>
      </c>
      <c r="O5" s="690" t="s">
        <v>478</v>
      </c>
      <c r="P5" s="690" t="s">
        <v>479</v>
      </c>
    </row>
    <row r="6" spans="1:16">
      <c r="B6" s="395"/>
      <c r="C6" s="405" t="s">
        <v>117</v>
      </c>
      <c r="D6" s="405" t="s">
        <v>388</v>
      </c>
      <c r="F6" s="396" t="s">
        <v>195</v>
      </c>
      <c r="G6" s="396"/>
      <c r="H6" s="396">
        <f>SUM(H2:H5)</f>
        <v>339312600</v>
      </c>
      <c r="I6" s="396"/>
      <c r="K6" s="691">
        <v>5</v>
      </c>
      <c r="L6" s="692" t="s">
        <v>480</v>
      </c>
      <c r="M6" s="692" t="s">
        <v>73</v>
      </c>
      <c r="N6" s="692" t="s">
        <v>73</v>
      </c>
      <c r="O6" s="693">
        <v>100000000</v>
      </c>
      <c r="P6" s="694">
        <v>7.0000000000000007E-2</v>
      </c>
    </row>
    <row r="7" spans="1:16">
      <c r="B7" s="583" t="s">
        <v>157</v>
      </c>
      <c r="C7" s="396">
        <v>3</v>
      </c>
      <c r="D7" s="396">
        <v>18000000</v>
      </c>
      <c r="F7" s="396"/>
      <c r="G7" s="396"/>
      <c r="H7" s="396"/>
      <c r="I7" s="396"/>
      <c r="K7" s="695">
        <v>1</v>
      </c>
      <c r="L7" s="696">
        <f>N7-M7</f>
        <v>17389069.444137402</v>
      </c>
      <c r="M7" s="696">
        <f>O6*$P$6</f>
        <v>7000000.0000000009</v>
      </c>
      <c r="N7" s="696">
        <f>$O$6*$P$6*(1+$P$6)^$K$6/((1+$P$6)^$K$6-1)</f>
        <v>24389069.444137402</v>
      </c>
      <c r="O7" s="696">
        <f>O6-L7</f>
        <v>82610930.555862606</v>
      </c>
      <c r="P7" s="697"/>
    </row>
    <row r="8" spans="1:16" ht="17.25" customHeight="1">
      <c r="B8" s="584" t="s">
        <v>158</v>
      </c>
      <c r="C8" s="396">
        <v>4</v>
      </c>
      <c r="D8" s="396">
        <v>18656300</v>
      </c>
      <c r="F8" s="396"/>
      <c r="G8" s="396"/>
      <c r="H8" s="396"/>
      <c r="I8" s="396"/>
      <c r="K8" s="695">
        <v>2</v>
      </c>
      <c r="L8" s="696">
        <f>N8-M8</f>
        <v>18606304.305227019</v>
      </c>
      <c r="M8" s="696">
        <f>O7*$P$6</f>
        <v>5782765.138910383</v>
      </c>
      <c r="N8" s="696">
        <f>$O$6*$P$6*(1+$P$6)^$K$6/((1+$P$6)^$K$6-1)</f>
        <v>24389069.444137402</v>
      </c>
      <c r="O8" s="696">
        <f>O7-L8</f>
        <v>64004626.250635587</v>
      </c>
      <c r="P8" s="697"/>
    </row>
    <row r="9" spans="1:16">
      <c r="B9" s="583" t="s">
        <v>159</v>
      </c>
      <c r="C9" s="396">
        <v>2</v>
      </c>
      <c r="D9" s="396">
        <v>120000000</v>
      </c>
      <c r="F9" s="396" t="s">
        <v>481</v>
      </c>
      <c r="G9" s="396">
        <v>117000000</v>
      </c>
      <c r="H9" s="396"/>
      <c r="I9" s="396" t="s">
        <v>482</v>
      </c>
      <c r="K9" s="695">
        <v>3</v>
      </c>
      <c r="L9" s="696">
        <f>N9-M9</f>
        <v>19908745.606592909</v>
      </c>
      <c r="M9" s="696">
        <f>O8*$P$6</f>
        <v>4480323.8375444915</v>
      </c>
      <c r="N9" s="696">
        <f>$O$6*$P$6*(1+$P$6)^$K$6/((1+$P$6)^$K$6-1)</f>
        <v>24389069.444137402</v>
      </c>
      <c r="O9" s="696">
        <f>O8-L9</f>
        <v>44095880.644042678</v>
      </c>
      <c r="P9" s="697"/>
    </row>
    <row r="10" spans="1:16">
      <c r="B10" s="583" t="s">
        <v>160</v>
      </c>
      <c r="C10" s="396">
        <v>2</v>
      </c>
      <c r="D10" s="396">
        <v>22000000</v>
      </c>
      <c r="F10" s="396" t="s">
        <v>483</v>
      </c>
      <c r="G10" s="396">
        <f>G9*0.9</f>
        <v>105300000</v>
      </c>
      <c r="H10" s="396"/>
      <c r="I10" s="396">
        <f>G9-G10</f>
        <v>11700000</v>
      </c>
      <c r="K10" s="695">
        <v>4</v>
      </c>
      <c r="L10" s="696">
        <f>N10-M10</f>
        <v>21302357.799054414</v>
      </c>
      <c r="M10" s="696">
        <f>O9*$P$6</f>
        <v>3086711.6450829878</v>
      </c>
      <c r="N10" s="696">
        <f>$O$6*$P$6*(1+$P$6)^$K$6/((1+$P$6)^$K$6-1)</f>
        <v>24389069.444137402</v>
      </c>
      <c r="O10" s="696">
        <f>O9-L10</f>
        <v>22793522.844988264</v>
      </c>
      <c r="P10" s="697"/>
    </row>
    <row r="11" spans="1:16">
      <c r="B11" s="583" t="s">
        <v>161</v>
      </c>
      <c r="C11" s="396">
        <v>1</v>
      </c>
      <c r="D11" s="396">
        <v>30000000</v>
      </c>
      <c r="F11" s="396"/>
      <c r="G11" s="396"/>
      <c r="H11" s="396"/>
      <c r="I11" s="396"/>
      <c r="K11" s="695">
        <v>5</v>
      </c>
      <c r="L11" s="696">
        <f>N11-M11</f>
        <v>22793522.844988223</v>
      </c>
      <c r="M11" s="696">
        <f>O10*$P$6</f>
        <v>1595546.5991491787</v>
      </c>
      <c r="N11" s="696">
        <f>$O$6*$P$6*(1+$P$6)^$K$6/((1+$P$6)^$K$6-1)</f>
        <v>24389069.444137402</v>
      </c>
      <c r="O11" s="696">
        <f>O10-L11</f>
        <v>4.0978193283081055E-8</v>
      </c>
      <c r="P11" s="697"/>
    </row>
    <row r="12" spans="1:16">
      <c r="B12" s="585" t="s">
        <v>384</v>
      </c>
      <c r="C12" s="398">
        <f>SUM(C7:C11)</f>
        <v>12</v>
      </c>
      <c r="D12" s="398">
        <f>SUM(D7:D11)</f>
        <v>208656300</v>
      </c>
      <c r="F12" s="396" t="s">
        <v>384</v>
      </c>
      <c r="G12" s="396">
        <f>H6</f>
        <v>339312600</v>
      </c>
      <c r="H12" s="396"/>
      <c r="I12" s="396" t="s">
        <v>482</v>
      </c>
      <c r="K12" s="689" t="s">
        <v>484</v>
      </c>
      <c r="L12" s="698">
        <f>SUM(L7:L11)</f>
        <v>99999999.99999997</v>
      </c>
      <c r="M12" s="698">
        <f>SUM(M7:M11)</f>
        <v>21945347.220687043</v>
      </c>
      <c r="N12" s="698">
        <f>SUM(N7:N11)</f>
        <v>121945347.220687</v>
      </c>
      <c r="O12" s="692" t="s">
        <v>73</v>
      </c>
      <c r="P12" s="697"/>
    </row>
    <row r="13" spans="1:16">
      <c r="F13" s="686" t="s">
        <v>483</v>
      </c>
      <c r="G13" s="686">
        <f>G12*0.9</f>
        <v>305381340</v>
      </c>
      <c r="H13" s="686"/>
      <c r="I13" s="686">
        <f>G12-G13</f>
        <v>33931260</v>
      </c>
    </row>
    <row r="14" spans="1:16">
      <c r="F14" s="396" t="s">
        <v>195</v>
      </c>
      <c r="G14" s="396">
        <f>SUM(G9,G13)</f>
        <v>422381340</v>
      </c>
      <c r="H14" s="396" t="s">
        <v>195</v>
      </c>
      <c r="I14" s="396">
        <f>SUM(I10+I13)</f>
        <v>45631260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7D6EC-A3B5-425A-A35F-C4202F09F85C}">
  <sheetPr>
    <tabColor theme="5" tint="-0.499984740745262"/>
  </sheetPr>
  <dimension ref="A2:G36"/>
  <sheetViews>
    <sheetView zoomScale="70" zoomScaleNormal="70" workbookViewId="0">
      <selection activeCell="G42" sqref="G42"/>
    </sheetView>
  </sheetViews>
  <sheetFormatPr defaultRowHeight="15"/>
  <cols>
    <col min="1" max="1" width="19.7109375" customWidth="1"/>
    <col min="2" max="2" width="21" customWidth="1"/>
    <col min="3" max="3" width="22.140625" customWidth="1"/>
    <col min="4" max="4" width="26.28515625" customWidth="1"/>
    <col min="5" max="5" width="28" customWidth="1"/>
    <col min="6" max="6" width="22.42578125" customWidth="1"/>
    <col min="7" max="7" width="21.7109375" customWidth="1"/>
    <col min="8" max="8" width="9.140625" customWidth="1"/>
  </cols>
  <sheetData>
    <row r="2" spans="1:7" ht="15.75" thickBot="1"/>
    <row r="3" spans="1:7">
      <c r="A3" s="181"/>
      <c r="B3" s="752">
        <v>2022</v>
      </c>
      <c r="C3" s="752">
        <v>2023</v>
      </c>
      <c r="D3" s="752">
        <v>2024</v>
      </c>
      <c r="E3" s="752">
        <v>2025</v>
      </c>
      <c r="F3" s="752">
        <v>2026</v>
      </c>
      <c r="G3" s="753" t="s">
        <v>485</v>
      </c>
    </row>
    <row r="4" spans="1:7">
      <c r="A4" s="756" t="s">
        <v>486</v>
      </c>
      <c r="B4" s="757">
        <v>-100000000</v>
      </c>
      <c r="C4" s="757">
        <v>-100000000</v>
      </c>
      <c r="D4" s="757">
        <v>-175000000</v>
      </c>
      <c r="E4" s="757">
        <v>-175000000</v>
      </c>
      <c r="F4" s="757">
        <v>-200000000</v>
      </c>
      <c r="G4" s="758"/>
    </row>
    <row r="5" spans="1:7">
      <c r="A5" s="756" t="s">
        <v>487</v>
      </c>
      <c r="B5" s="757">
        <v>10931204.946793653</v>
      </c>
      <c r="C5" s="757"/>
      <c r="D5" s="757">
        <v>32416569.530800004</v>
      </c>
      <c r="E5" s="757">
        <v>36049246.476698004</v>
      </c>
      <c r="F5" s="757">
        <v>35915062.461695693</v>
      </c>
      <c r="G5" s="758"/>
    </row>
    <row r="6" spans="1:7">
      <c r="A6" s="756" t="s">
        <v>152</v>
      </c>
      <c r="B6" s="757">
        <v>81305117.641723365</v>
      </c>
      <c r="C6" s="757">
        <v>33013653.523809522</v>
      </c>
      <c r="D6" s="757">
        <v>238973835.40000001</v>
      </c>
      <c r="E6" s="757">
        <v>258933598.83900002</v>
      </c>
      <c r="F6" s="757">
        <v>258196324.031295</v>
      </c>
      <c r="G6" s="758"/>
    </row>
    <row r="7" spans="1:7">
      <c r="A7" s="756" t="s">
        <v>488</v>
      </c>
      <c r="B7" s="757">
        <f>B4+B5</f>
        <v>-89068795.053206354</v>
      </c>
      <c r="C7" s="757">
        <f>C4+C5</f>
        <v>-100000000</v>
      </c>
      <c r="D7" s="757">
        <f>D4+D5</f>
        <v>-142583430.46919999</v>
      </c>
      <c r="E7" s="757">
        <f>E4+E5</f>
        <v>-138950753.52330199</v>
      </c>
      <c r="F7" s="757">
        <f>F4+F5+(F6*5)</f>
        <v>1126896682.6181707</v>
      </c>
      <c r="G7" s="758"/>
    </row>
    <row r="8" spans="1:7">
      <c r="A8" s="756" t="s">
        <v>489</v>
      </c>
      <c r="B8" s="757">
        <f>B7</f>
        <v>-89068795.053206354</v>
      </c>
      <c r="C8" s="757">
        <f>B8+C7</f>
        <v>-189068795.05320635</v>
      </c>
      <c r="D8" s="757">
        <f t="shared" ref="D8:E8" si="0">C8+D7</f>
        <v>-331652225.52240634</v>
      </c>
      <c r="E8" s="757">
        <f t="shared" si="0"/>
        <v>-470602979.0457083</v>
      </c>
      <c r="F8" s="757">
        <f>E8+F7</f>
        <v>656293703.57246244</v>
      </c>
      <c r="G8" s="758"/>
    </row>
    <row r="9" spans="1:7" ht="15.75" thickBot="1">
      <c r="A9" s="754" t="s">
        <v>485</v>
      </c>
      <c r="B9" s="759"/>
      <c r="C9" s="755"/>
      <c r="D9" s="755"/>
      <c r="E9" s="755"/>
      <c r="F9" s="755"/>
      <c r="G9" s="778">
        <f>IRR(B7:F7)</f>
        <v>0.41704747879773207</v>
      </c>
    </row>
    <row r="16" spans="1:7" ht="15.75" thickBot="1"/>
    <row r="17" spans="1:7">
      <c r="A17" s="760" t="s">
        <v>490</v>
      </c>
      <c r="B17" s="761">
        <v>2022</v>
      </c>
      <c r="C17" s="761">
        <v>2023</v>
      </c>
      <c r="D17" s="761">
        <v>2024</v>
      </c>
      <c r="E17" s="761">
        <v>2025</v>
      </c>
      <c r="F17" s="762">
        <v>2026</v>
      </c>
    </row>
    <row r="18" spans="1:7">
      <c r="A18" s="763" t="s">
        <v>491</v>
      </c>
      <c r="B18" s="742">
        <v>54656024.733968303</v>
      </c>
      <c r="C18" s="742">
        <v>744821.82666666538</v>
      </c>
      <c r="D18" s="742">
        <v>162082847.65400001</v>
      </c>
      <c r="E18" s="742">
        <v>180246232.38349003</v>
      </c>
      <c r="F18" s="764">
        <v>179575312.30847844</v>
      </c>
    </row>
    <row r="19" spans="1:7">
      <c r="A19" s="763" t="s">
        <v>163</v>
      </c>
      <c r="B19" s="742">
        <v>21243552</v>
      </c>
      <c r="C19" s="742">
        <v>32195168</v>
      </c>
      <c r="D19" s="742">
        <v>60860816</v>
      </c>
      <c r="E19" s="742">
        <v>60860816</v>
      </c>
      <c r="F19" s="764">
        <v>60860816</v>
      </c>
    </row>
    <row r="20" spans="1:7">
      <c r="A20" s="763" t="s">
        <v>492</v>
      </c>
      <c r="B20" s="742">
        <f>B18+B19</f>
        <v>75899576.733968303</v>
      </c>
      <c r="C20" s="742">
        <f t="shared" ref="C20:F20" si="1">C18+C19</f>
        <v>32939989.826666664</v>
      </c>
      <c r="D20" s="742">
        <f t="shared" si="1"/>
        <v>222943663.65400001</v>
      </c>
      <c r="E20" s="742">
        <f t="shared" si="1"/>
        <v>241107048.38349003</v>
      </c>
      <c r="F20" s="764">
        <f t="shared" si="1"/>
        <v>240436128.30847844</v>
      </c>
    </row>
    <row r="21" spans="1:7">
      <c r="A21" s="763" t="s">
        <v>493</v>
      </c>
      <c r="B21" s="742">
        <v>2000000</v>
      </c>
      <c r="C21" s="742">
        <v>20000000</v>
      </c>
      <c r="D21" s="742">
        <v>40000000</v>
      </c>
      <c r="E21" s="742">
        <v>100000000</v>
      </c>
      <c r="F21" s="764">
        <v>100000000</v>
      </c>
    </row>
    <row r="22" spans="1:7">
      <c r="A22" s="763" t="s">
        <v>490</v>
      </c>
      <c r="B22" s="765">
        <f>B20/B21</f>
        <v>37.949788366984151</v>
      </c>
      <c r="C22" s="765">
        <f>C20/C21</f>
        <v>1.6469994913333332</v>
      </c>
      <c r="D22" s="765">
        <f>D20/D21</f>
        <v>5.5735915913500005</v>
      </c>
      <c r="E22" s="765">
        <f>E20/E21</f>
        <v>2.4110704838349002</v>
      </c>
      <c r="F22" s="777">
        <f>F20/F21</f>
        <v>2.4043612830847843</v>
      </c>
    </row>
    <row r="23" spans="1:7" ht="15.75" thickBot="1">
      <c r="A23" s="766"/>
      <c r="B23" s="767"/>
      <c r="C23" s="767"/>
      <c r="D23" s="767"/>
      <c r="E23" s="767"/>
      <c r="F23" s="768"/>
    </row>
    <row r="24" spans="1:7">
      <c r="A24" s="769"/>
      <c r="B24" s="770"/>
      <c r="C24" s="770"/>
      <c r="D24" s="770"/>
      <c r="E24" s="770"/>
      <c r="F24" s="771"/>
    </row>
    <row r="25" spans="1:7">
      <c r="A25" s="756" t="s">
        <v>494</v>
      </c>
      <c r="B25" s="757">
        <v>2022</v>
      </c>
      <c r="C25" s="757">
        <v>2023</v>
      </c>
      <c r="D25" s="757">
        <v>2024</v>
      </c>
      <c r="E25" s="757">
        <v>2025</v>
      </c>
      <c r="F25" s="758"/>
    </row>
    <row r="26" spans="1:7">
      <c r="A26" s="756" t="s">
        <v>491</v>
      </c>
      <c r="B26" s="757">
        <v>54656024.733968265</v>
      </c>
      <c r="C26" s="757">
        <v>744821.82666666538</v>
      </c>
      <c r="D26" s="757">
        <v>162082847.65400001</v>
      </c>
      <c r="E26" s="757">
        <v>180246232.38349003</v>
      </c>
      <c r="F26" s="758">
        <v>179575312.30847844</v>
      </c>
    </row>
    <row r="27" spans="1:7">
      <c r="A27" s="756" t="s">
        <v>163</v>
      </c>
      <c r="B27" s="757">
        <v>21243552</v>
      </c>
      <c r="C27" s="757">
        <v>32195168</v>
      </c>
      <c r="D27" s="757">
        <v>60860816</v>
      </c>
      <c r="E27" s="757">
        <v>60860816</v>
      </c>
      <c r="F27" s="758">
        <v>60860816</v>
      </c>
    </row>
    <row r="28" spans="1:7">
      <c r="A28" s="756" t="s">
        <v>492</v>
      </c>
      <c r="B28" s="757">
        <f>B26+B27</f>
        <v>75899576.733968258</v>
      </c>
      <c r="C28" s="757">
        <f t="shared" ref="C28:F28" si="2">C26+C27</f>
        <v>32939989.826666664</v>
      </c>
      <c r="D28" s="757">
        <f t="shared" si="2"/>
        <v>222943663.65400001</v>
      </c>
      <c r="E28" s="757">
        <f t="shared" si="2"/>
        <v>241107048.38349003</v>
      </c>
      <c r="F28" s="758">
        <f t="shared" si="2"/>
        <v>240436128.30847844</v>
      </c>
    </row>
    <row r="29" spans="1:7">
      <c r="A29" s="756" t="s">
        <v>495</v>
      </c>
      <c r="B29" s="757">
        <v>100000000</v>
      </c>
      <c r="C29" s="757">
        <v>180000000</v>
      </c>
      <c r="D29" s="757">
        <v>285000000</v>
      </c>
      <c r="E29" s="757">
        <v>355000000</v>
      </c>
      <c r="F29" s="758">
        <v>395000000</v>
      </c>
    </row>
    <row r="30" spans="1:7">
      <c r="A30" s="756" t="s">
        <v>494</v>
      </c>
      <c r="B30" s="772">
        <f>B28/B29</f>
        <v>0.75899576733968255</v>
      </c>
      <c r="C30" s="772">
        <f t="shared" ref="C30:F30" si="3">C28/C29</f>
        <v>0.18299994348148146</v>
      </c>
      <c r="D30" s="772">
        <f t="shared" si="3"/>
        <v>0.78225846896140361</v>
      </c>
      <c r="E30" s="772">
        <f t="shared" si="3"/>
        <v>0.67917478417884514</v>
      </c>
      <c r="F30" s="779">
        <f t="shared" si="3"/>
        <v>0.60869905900880616</v>
      </c>
    </row>
    <row r="31" spans="1:7" ht="15.75" thickBot="1">
      <c r="A31" s="773"/>
      <c r="B31" s="774"/>
      <c r="C31" s="774"/>
      <c r="D31" s="774"/>
      <c r="E31" s="774"/>
      <c r="F31" s="775"/>
    </row>
    <row r="32" spans="1:7">
      <c r="A32" s="109" t="s">
        <v>496</v>
      </c>
      <c r="B32" s="81">
        <v>2022</v>
      </c>
      <c r="C32" s="81">
        <v>2023</v>
      </c>
      <c r="D32" s="81">
        <v>2024</v>
      </c>
      <c r="E32" s="81">
        <v>2025</v>
      </c>
      <c r="F32" s="81">
        <v>2026</v>
      </c>
      <c r="G32" s="82"/>
    </row>
    <row r="33" spans="1:7">
      <c r="A33" s="105" t="s">
        <v>486</v>
      </c>
      <c r="B33" s="84">
        <v>100000000</v>
      </c>
      <c r="C33" s="84">
        <v>100000000</v>
      </c>
      <c r="D33" s="84">
        <v>175000000</v>
      </c>
      <c r="E33" s="84">
        <v>175000000</v>
      </c>
      <c r="F33" s="84">
        <v>200000000</v>
      </c>
      <c r="G33" s="85">
        <f>SUM(B33:F33)</f>
        <v>750000000</v>
      </c>
    </row>
    <row r="34" spans="1:7">
      <c r="A34" s="105" t="s">
        <v>487</v>
      </c>
      <c r="B34" s="84">
        <v>10931204.946793653</v>
      </c>
      <c r="C34" s="84"/>
      <c r="D34" s="84">
        <v>32416569.530800004</v>
      </c>
      <c r="E34" s="84">
        <v>36049246.476698004</v>
      </c>
      <c r="F34" s="84">
        <v>35915062.461695693</v>
      </c>
      <c r="G34" s="85">
        <f>SUM(B34:F34)</f>
        <v>115312083.41598737</v>
      </c>
    </row>
    <row r="35" spans="1:7">
      <c r="A35" s="105" t="s">
        <v>497</v>
      </c>
      <c r="B35" s="84"/>
      <c r="C35" s="84"/>
      <c r="D35" s="84"/>
      <c r="E35" s="84"/>
      <c r="F35" s="84"/>
      <c r="G35" s="85">
        <f>F7</f>
        <v>1126896682.6181707</v>
      </c>
    </row>
    <row r="36" spans="1:7" ht="15.75" thickBot="1">
      <c r="A36" s="776"/>
      <c r="B36" s="89"/>
      <c r="C36" s="89"/>
      <c r="D36" s="89"/>
      <c r="E36" s="89"/>
      <c r="F36" s="89" t="s">
        <v>496</v>
      </c>
      <c r="G36" s="780">
        <f>(G34+G35)/G33</f>
        <v>1.6562783547122111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82B0F-85D6-4A68-9124-8C671617CAFD}">
  <sheetPr>
    <tabColor theme="5" tint="-0.249977111117893"/>
  </sheetPr>
  <dimension ref="A1:C10"/>
  <sheetViews>
    <sheetView topLeftCell="D1" zoomScale="220" zoomScaleNormal="220" workbookViewId="0">
      <selection activeCell="N5" sqref="N5"/>
    </sheetView>
  </sheetViews>
  <sheetFormatPr defaultRowHeight="15"/>
  <cols>
    <col min="1" max="1" width="24.85546875" customWidth="1"/>
    <col min="2" max="2" width="21.28515625" customWidth="1"/>
    <col min="3" max="3" width="18.140625" customWidth="1"/>
  </cols>
  <sheetData>
    <row r="1" spans="1:3">
      <c r="A1" s="392" t="s">
        <v>384</v>
      </c>
      <c r="B1" s="393"/>
      <c r="C1" s="393"/>
    </row>
    <row r="2" spans="1:3">
      <c r="A2" s="395" t="s">
        <v>236</v>
      </c>
      <c r="B2" s="396"/>
      <c r="C2" s="396"/>
    </row>
    <row r="3" spans="1:3">
      <c r="A3" s="395" t="s">
        <v>387</v>
      </c>
      <c r="B3" s="396"/>
      <c r="C3" s="396"/>
    </row>
    <row r="4" spans="1:3">
      <c r="A4" s="395"/>
      <c r="B4" s="405"/>
      <c r="C4" s="405"/>
    </row>
    <row r="5" spans="1:3">
      <c r="A5" s="583" t="s">
        <v>157</v>
      </c>
      <c r="B5" s="396">
        <v>3</v>
      </c>
      <c r="C5" s="396">
        <f>B5*18000000</f>
        <v>54000000</v>
      </c>
    </row>
    <row r="6" spans="1:3">
      <c r="A6" s="584" t="s">
        <v>158</v>
      </c>
      <c r="B6" s="396">
        <v>4</v>
      </c>
      <c r="C6" s="396">
        <f>18656300*B6</f>
        <v>74625200</v>
      </c>
    </row>
    <row r="7" spans="1:3">
      <c r="A7" s="583" t="s">
        <v>159</v>
      </c>
      <c r="B7" s="396">
        <v>2</v>
      </c>
      <c r="C7" s="396">
        <f>120000000*B7</f>
        <v>240000000</v>
      </c>
    </row>
    <row r="8" spans="1:3">
      <c r="A8" s="583" t="s">
        <v>160</v>
      </c>
      <c r="B8" s="396">
        <v>2</v>
      </c>
      <c r="C8" s="396">
        <f>22000000*B8</f>
        <v>44000000</v>
      </c>
    </row>
    <row r="9" spans="1:3">
      <c r="A9" s="583" t="s">
        <v>161</v>
      </c>
      <c r="B9" s="396">
        <v>1</v>
      </c>
      <c r="C9" s="396">
        <f>30000000*B9</f>
        <v>30000000</v>
      </c>
    </row>
    <row r="10" spans="1:3" ht="15.75" thickBot="1">
      <c r="A10" s="585" t="s">
        <v>384</v>
      </c>
      <c r="B10" s="398">
        <f>SUM(B5:B9)</f>
        <v>12</v>
      </c>
      <c r="C10" s="398">
        <f>SUM(C5:C9)</f>
        <v>442625200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CFA7F-9839-4890-B2F0-9828104F08C0}">
  <sheetPr>
    <tabColor rgb="FFC00000"/>
  </sheetPr>
  <dimension ref="A1:T87"/>
  <sheetViews>
    <sheetView topLeftCell="C71" zoomScale="70" zoomScaleNormal="70" workbookViewId="0">
      <selection activeCell="J15" sqref="J15"/>
    </sheetView>
  </sheetViews>
  <sheetFormatPr defaultRowHeight="15"/>
  <cols>
    <col min="1" max="1" width="33.140625" customWidth="1"/>
    <col min="2" max="2" width="19.28515625" customWidth="1"/>
    <col min="3" max="3" width="19" customWidth="1"/>
    <col min="4" max="4" width="19.28515625" customWidth="1"/>
    <col min="6" max="6" width="53" customWidth="1"/>
    <col min="7" max="7" width="14.85546875" customWidth="1"/>
    <col min="8" max="8" width="15.140625" customWidth="1"/>
    <col min="9" max="9" width="14.5703125" customWidth="1"/>
    <col min="12" max="12" width="25.5703125" customWidth="1"/>
    <col min="13" max="13" width="12.85546875" customWidth="1"/>
    <col min="14" max="14" width="25.7109375" customWidth="1"/>
    <col min="15" max="15" width="18.5703125" customWidth="1"/>
    <col min="17" max="17" width="24" customWidth="1"/>
    <col min="18" max="18" width="9.85546875" bestFit="1" customWidth="1"/>
    <col min="19" max="19" width="18.85546875" customWidth="1"/>
  </cols>
  <sheetData>
    <row r="1" spans="1:20" ht="15.75">
      <c r="A1" s="651" t="s">
        <v>0</v>
      </c>
      <c r="B1" s="652">
        <v>44926</v>
      </c>
      <c r="C1" s="652">
        <v>45291</v>
      </c>
      <c r="D1" s="653">
        <v>45657</v>
      </c>
      <c r="F1" s="629" t="s">
        <v>1</v>
      </c>
      <c r="G1" s="630">
        <v>2022</v>
      </c>
      <c r="H1" s="631">
        <v>2023</v>
      </c>
      <c r="I1" s="632">
        <v>2024</v>
      </c>
    </row>
    <row r="2" spans="1:20" ht="15.75">
      <c r="A2" s="654" t="s">
        <v>2</v>
      </c>
      <c r="B2" s="6">
        <v>2022</v>
      </c>
      <c r="C2" s="6">
        <v>2023</v>
      </c>
      <c r="D2" s="655">
        <v>2024</v>
      </c>
      <c r="F2" s="633" t="s">
        <v>3</v>
      </c>
      <c r="G2" s="10"/>
      <c r="H2" s="11"/>
      <c r="I2" s="634"/>
      <c r="L2" s="125" t="s">
        <v>498</v>
      </c>
      <c r="M2" s="126">
        <v>2022</v>
      </c>
      <c r="N2" s="127"/>
      <c r="O2" s="128"/>
    </row>
    <row r="3" spans="1:20">
      <c r="A3" s="656"/>
      <c r="B3" s="9"/>
      <c r="C3" s="9"/>
      <c r="D3" s="657"/>
      <c r="F3" s="635" t="s">
        <v>4</v>
      </c>
      <c r="G3" s="201">
        <f>619856000/1000</f>
        <v>619856</v>
      </c>
      <c r="H3" s="202">
        <f>520976000/1000</f>
        <v>520976</v>
      </c>
      <c r="I3" s="636">
        <f>1097184000/1000</f>
        <v>1097184</v>
      </c>
      <c r="L3" s="129" t="s">
        <v>499</v>
      </c>
      <c r="M3" s="130">
        <f>B4+B9</f>
        <v>721626.6</v>
      </c>
      <c r="N3" s="130" t="s">
        <v>500</v>
      </c>
      <c r="O3" s="131">
        <f>B15</f>
        <v>263611.83823238604</v>
      </c>
    </row>
    <row r="4" spans="1:20">
      <c r="A4" s="658" t="s">
        <v>5</v>
      </c>
      <c r="B4" s="209">
        <f>SUM(B5:B7)</f>
        <v>434216.6</v>
      </c>
      <c r="C4" s="210">
        <f>SUM(C5:C7)</f>
        <v>440177.99200000003</v>
      </c>
      <c r="D4" s="782">
        <f>SUM(D5:D7)</f>
        <v>685892.58400000003</v>
      </c>
      <c r="F4" s="637" t="s">
        <v>6</v>
      </c>
      <c r="G4" s="203">
        <v>0</v>
      </c>
      <c r="H4" s="203">
        <v>0</v>
      </c>
      <c r="I4" s="641">
        <v>0</v>
      </c>
      <c r="L4" s="129" t="s">
        <v>501</v>
      </c>
      <c r="M4" s="130">
        <f>B33-B27</f>
        <v>-186906</v>
      </c>
      <c r="N4" s="130" t="s">
        <v>502</v>
      </c>
      <c r="O4" s="131">
        <f>B34</f>
        <v>311608</v>
      </c>
    </row>
    <row r="5" spans="1:20">
      <c r="A5" s="660" t="s">
        <v>8</v>
      </c>
      <c r="B5" s="211">
        <v>15210</v>
      </c>
      <c r="C5" s="212">
        <v>18335</v>
      </c>
      <c r="D5" s="783">
        <v>20180</v>
      </c>
      <c r="F5" s="637" t="s">
        <v>9</v>
      </c>
      <c r="G5" s="203">
        <v>0</v>
      </c>
      <c r="H5" s="204">
        <v>0</v>
      </c>
      <c r="I5" s="638">
        <v>0</v>
      </c>
      <c r="L5" s="129" t="s">
        <v>503</v>
      </c>
      <c r="M5" s="130">
        <f>B12</f>
        <v>20499</v>
      </c>
      <c r="N5" s="130"/>
      <c r="O5" s="131"/>
    </row>
    <row r="6" spans="1:20">
      <c r="A6" s="662" t="s">
        <v>11</v>
      </c>
      <c r="B6" s="213">
        <f>404208600/1000</f>
        <v>404208.6</v>
      </c>
      <c r="C6" s="214">
        <f>409482992/1000</f>
        <v>409482.99200000003</v>
      </c>
      <c r="D6" s="784">
        <f>650842584/1000</f>
        <v>650842.58400000003</v>
      </c>
      <c r="F6" s="639" t="s">
        <v>12</v>
      </c>
      <c r="G6" s="12">
        <v>0</v>
      </c>
      <c r="H6" s="13">
        <v>0</v>
      </c>
      <c r="I6" s="797">
        <v>0</v>
      </c>
      <c r="L6" s="132" t="s">
        <v>504</v>
      </c>
      <c r="M6" s="133">
        <f>SUM(M3:M5)</f>
        <v>555219.6</v>
      </c>
      <c r="N6" s="133" t="s">
        <v>505</v>
      </c>
      <c r="O6" s="134">
        <f>SUM(O3:O4)</f>
        <v>575219.83823238604</v>
      </c>
      <c r="Q6" s="119" t="s">
        <v>506</v>
      </c>
      <c r="R6" s="56"/>
      <c r="S6" s="56"/>
      <c r="T6" s="57"/>
    </row>
    <row r="7" spans="1:20">
      <c r="A7" s="664" t="s">
        <v>14</v>
      </c>
      <c r="B7" s="215">
        <v>14798</v>
      </c>
      <c r="C7" s="216">
        <v>12360</v>
      </c>
      <c r="D7" s="785">
        <v>14870</v>
      </c>
      <c r="F7" s="637" t="s">
        <v>15</v>
      </c>
      <c r="G7" s="203">
        <f>(Összefoglaló!E63+Összefoglaló!E114+Összefoglaló!E123)/1000</f>
        <v>434138.88235827663</v>
      </c>
      <c r="H7" s="621">
        <f>(Összefoglaló!F63+Összefoglaló!F114+Összefoglaló!F123)/1000</f>
        <v>374675.32647619047</v>
      </c>
      <c r="I7" s="641">
        <f>(Összefoglaló!G63+Összefoglaló!G114+Összefoglaló!G123)/1000</f>
        <v>734727.31279999996</v>
      </c>
      <c r="L7" s="42"/>
      <c r="O7" s="43"/>
      <c r="Q7" s="76" t="s">
        <v>507</v>
      </c>
      <c r="R7" s="120">
        <f>M11-M3</f>
        <v>-55838.607999999891</v>
      </c>
      <c r="S7" s="77" t="s">
        <v>508</v>
      </c>
      <c r="T7" s="121">
        <f>O11-O3</f>
        <v>-25875.01640571942</v>
      </c>
    </row>
    <row r="8" spans="1:20">
      <c r="A8" s="658" t="s">
        <v>16</v>
      </c>
      <c r="B8" s="209">
        <f>SUM(B9:B12)</f>
        <v>601754</v>
      </c>
      <c r="C8" s="210">
        <f>SUM(C9:C12)</f>
        <v>570608</v>
      </c>
      <c r="D8" s="782">
        <f>SUM(D9:D12)</f>
        <v>1055676</v>
      </c>
      <c r="F8" s="637" t="s">
        <v>17</v>
      </c>
      <c r="G8" s="203">
        <f>Összefoglaló!E97/1000</f>
        <v>104411.99999999999</v>
      </c>
      <c r="H8" s="621">
        <f>Összefoglaló!F97/1000</f>
        <v>113287.01999999999</v>
      </c>
      <c r="I8" s="641">
        <f>Összefoglaló!G97/1000</f>
        <v>123482.8518</v>
      </c>
      <c r="L8" s="42"/>
      <c r="O8" s="43"/>
      <c r="Q8" s="76" t="s">
        <v>509</v>
      </c>
      <c r="R8" s="120">
        <f>M12-M4</f>
        <v>127641</v>
      </c>
      <c r="S8" s="77" t="s">
        <v>510</v>
      </c>
      <c r="T8" s="121">
        <f>O12-O4</f>
        <v>134298</v>
      </c>
    </row>
    <row r="9" spans="1:20">
      <c r="A9" s="660" t="s">
        <v>18</v>
      </c>
      <c r="B9" s="211">
        <v>287410</v>
      </c>
      <c r="C9" s="212">
        <v>225610</v>
      </c>
      <c r="D9" s="783">
        <v>297330</v>
      </c>
      <c r="F9" s="637" t="s">
        <v>19</v>
      </c>
      <c r="G9" s="203">
        <f>Összefoglaló!E146/1000-G15</f>
        <v>14243.552</v>
      </c>
      <c r="H9" s="621">
        <f>Összefoglaló!F146/1000-H15</f>
        <v>26412.40286108962</v>
      </c>
      <c r="I9" s="641">
        <f>Összefoglaló!G146/1000-I15</f>
        <v>56380.492162455506</v>
      </c>
      <c r="L9" s="42"/>
      <c r="O9" s="43"/>
      <c r="Q9" s="76" t="s">
        <v>511</v>
      </c>
      <c r="R9" s="120">
        <f>M13-M5</f>
        <v>-5379</v>
      </c>
      <c r="S9" s="77"/>
      <c r="T9" s="122"/>
    </row>
    <row r="10" spans="1:20">
      <c r="A10" s="662" t="s">
        <v>20</v>
      </c>
      <c r="B10" s="213">
        <v>283500</v>
      </c>
      <c r="C10" s="214">
        <v>315100</v>
      </c>
      <c r="D10" s="784">
        <f>685740000/1000</f>
        <v>685740</v>
      </c>
      <c r="F10" s="637" t="s">
        <v>21</v>
      </c>
      <c r="G10" s="203">
        <v>0</v>
      </c>
      <c r="H10" s="621">
        <v>0</v>
      </c>
      <c r="I10" s="641">
        <v>0</v>
      </c>
      <c r="L10" s="113" t="s">
        <v>498</v>
      </c>
      <c r="M10" s="114">
        <v>2023</v>
      </c>
      <c r="N10" s="56"/>
      <c r="O10" s="57"/>
      <c r="Q10" s="78" t="s">
        <v>195</v>
      </c>
      <c r="R10" s="123">
        <f>M14-M6</f>
        <v>66423.392000000109</v>
      </c>
      <c r="S10" s="64" t="s">
        <v>195</v>
      </c>
      <c r="T10" s="124">
        <f>O14-O6</f>
        <v>108422.98359428055</v>
      </c>
    </row>
    <row r="11" spans="1:20">
      <c r="A11" s="662" t="s">
        <v>23</v>
      </c>
      <c r="B11" s="213">
        <v>10345</v>
      </c>
      <c r="C11" s="214">
        <v>14778</v>
      </c>
      <c r="D11" s="784">
        <v>19890</v>
      </c>
      <c r="F11" s="639" t="s">
        <v>24</v>
      </c>
      <c r="G11" s="12">
        <v>0</v>
      </c>
      <c r="H11" s="14">
        <v>0</v>
      </c>
      <c r="I11" s="640">
        <v>0</v>
      </c>
      <c r="L11" s="115" t="s">
        <v>499</v>
      </c>
      <c r="M11" s="59">
        <f>C4+C9</f>
        <v>665787.99200000009</v>
      </c>
      <c r="N11" s="59" t="s">
        <v>500</v>
      </c>
      <c r="O11" s="60">
        <f>C15</f>
        <v>237736.82182666662</v>
      </c>
    </row>
    <row r="12" spans="1:20">
      <c r="A12" s="664" t="s">
        <v>26</v>
      </c>
      <c r="B12" s="215">
        <v>20499</v>
      </c>
      <c r="C12" s="216">
        <v>15120</v>
      </c>
      <c r="D12" s="785">
        <v>52716</v>
      </c>
      <c r="F12" s="642" t="s">
        <v>27</v>
      </c>
      <c r="G12" s="205">
        <f>G3+G4+G5-G7-G8-G9-G10</f>
        <v>67061.565641723384</v>
      </c>
      <c r="H12" s="206">
        <f>H3+H4+H5-H7-H8-H9-H10</f>
        <v>6601.2506627199182</v>
      </c>
      <c r="I12" s="643">
        <f>I3+I4+I5-I7-I8-I9-I10</f>
        <v>182593.34323754453</v>
      </c>
      <c r="L12" s="115" t="s">
        <v>501</v>
      </c>
      <c r="M12" s="59">
        <f>C33-C27</f>
        <v>-59265</v>
      </c>
      <c r="N12" s="59" t="s">
        <v>502</v>
      </c>
      <c r="O12" s="60">
        <f>C34</f>
        <v>445906</v>
      </c>
    </row>
    <row r="13" spans="1:20">
      <c r="A13" s="658" t="s">
        <v>28</v>
      </c>
      <c r="B13" s="217">
        <v>4551</v>
      </c>
      <c r="C13" s="218">
        <v>4990</v>
      </c>
      <c r="D13" s="786">
        <v>5801</v>
      </c>
      <c r="F13" s="637" t="s">
        <v>29</v>
      </c>
      <c r="G13" s="203">
        <v>0</v>
      </c>
      <c r="H13" s="207">
        <v>0</v>
      </c>
      <c r="I13" s="638">
        <v>0</v>
      </c>
      <c r="L13" s="115" t="s">
        <v>503</v>
      </c>
      <c r="M13" s="59">
        <f>C12</f>
        <v>15120</v>
      </c>
      <c r="N13" s="59"/>
      <c r="O13" s="60"/>
    </row>
    <row r="14" spans="1:20" ht="15.75">
      <c r="A14" s="667" t="s">
        <v>30</v>
      </c>
      <c r="B14" s="219">
        <f>SUM(B4,B8,B13)</f>
        <v>1040521.6</v>
      </c>
      <c r="C14" s="220">
        <f>SUM(C4,C8,C13)</f>
        <v>1015775.9920000001</v>
      </c>
      <c r="D14" s="787">
        <f>SUM(D4,D8,D13)</f>
        <v>1747369.584</v>
      </c>
      <c r="F14" s="639" t="s">
        <v>31</v>
      </c>
      <c r="G14" s="12">
        <v>0</v>
      </c>
      <c r="H14" s="13">
        <v>0</v>
      </c>
      <c r="I14" s="640">
        <v>0</v>
      </c>
      <c r="L14" s="116" t="s">
        <v>504</v>
      </c>
      <c r="M14" s="117">
        <f>SUM(M11:M13)</f>
        <v>621642.99200000009</v>
      </c>
      <c r="N14" s="117" t="s">
        <v>505</v>
      </c>
      <c r="O14" s="118">
        <f>SUM(O11:O12)</f>
        <v>683642.82182666659</v>
      </c>
      <c r="Q14" s="109" t="s">
        <v>512</v>
      </c>
      <c r="R14" s="81"/>
      <c r="S14" s="81"/>
      <c r="T14" s="82"/>
    </row>
    <row r="15" spans="1:20">
      <c r="A15" s="658" t="s">
        <v>32</v>
      </c>
      <c r="B15" s="209">
        <f>SUM(B16,B18:B22)</f>
        <v>263611.83823238604</v>
      </c>
      <c r="C15" s="210">
        <f>SUM(C16,C18:C22)</f>
        <v>237736.82182666662</v>
      </c>
      <c r="D15" s="782">
        <f>SUM(D16,D18:D22)</f>
        <v>671082.84765400004</v>
      </c>
      <c r="F15" s="637" t="s">
        <v>33</v>
      </c>
      <c r="G15" s="203">
        <f>Támogatás!M7/1000</f>
        <v>7000.0000000000009</v>
      </c>
      <c r="H15" s="621">
        <f>Támogatás!M8/1000</f>
        <v>5782.765138910383</v>
      </c>
      <c r="I15" s="641">
        <f>Támogatás!M9/1000</f>
        <v>4480.3238375444917</v>
      </c>
      <c r="L15" s="42"/>
      <c r="O15" s="43"/>
      <c r="Q15" s="99" t="s">
        <v>507</v>
      </c>
      <c r="R15" s="110">
        <f>M19-M11</f>
        <v>317434.59199999995</v>
      </c>
      <c r="S15" s="100" t="s">
        <v>508</v>
      </c>
      <c r="T15" s="85">
        <f>O19-O11</f>
        <v>433346.02582733345</v>
      </c>
    </row>
    <row r="16" spans="1:20">
      <c r="A16" s="660" t="s">
        <v>34</v>
      </c>
      <c r="B16" s="211">
        <v>100000</v>
      </c>
      <c r="C16" s="212">
        <v>100000</v>
      </c>
      <c r="D16" s="783">
        <v>175000</v>
      </c>
      <c r="F16" s="642" t="s">
        <v>35</v>
      </c>
      <c r="G16" s="205">
        <f>G13-G15</f>
        <v>-7000.0000000000009</v>
      </c>
      <c r="H16" s="205">
        <f>H13-H15</f>
        <v>-5782.765138910383</v>
      </c>
      <c r="I16" s="644">
        <f>I13-I15</f>
        <v>-4480.3238375444917</v>
      </c>
      <c r="L16" s="42"/>
      <c r="O16" s="43"/>
      <c r="Q16" s="99" t="s">
        <v>509</v>
      </c>
      <c r="R16" s="110">
        <f>M20-M12</f>
        <v>173105.20000000007</v>
      </c>
      <c r="S16" s="100" t="s">
        <v>510</v>
      </c>
      <c r="T16" s="85">
        <f>O20-O12</f>
        <v>116421</v>
      </c>
    </row>
    <row r="17" spans="1:20">
      <c r="A17" s="662" t="s">
        <v>36</v>
      </c>
      <c r="B17" s="221">
        <v>10000</v>
      </c>
      <c r="C17" s="222">
        <v>10000</v>
      </c>
      <c r="D17" s="669">
        <v>0</v>
      </c>
      <c r="F17" s="642" t="s">
        <v>37</v>
      </c>
      <c r="G17" s="205">
        <f>G12+G16</f>
        <v>60061.565641723384</v>
      </c>
      <c r="H17" s="205">
        <f>H12+H16</f>
        <v>818.48552380953515</v>
      </c>
      <c r="I17" s="645">
        <f>I12+I16</f>
        <v>178113.01940000005</v>
      </c>
      <c r="L17" s="42"/>
      <c r="O17" s="43"/>
      <c r="Q17" s="99" t="s">
        <v>511</v>
      </c>
      <c r="R17" s="110">
        <f>M21-M13</f>
        <v>37596</v>
      </c>
      <c r="S17" s="100"/>
      <c r="T17" s="85"/>
    </row>
    <row r="18" spans="1:20">
      <c r="A18" s="662" t="s">
        <v>38</v>
      </c>
      <c r="B18" s="213">
        <v>30000</v>
      </c>
      <c r="C18" s="214">
        <v>32000</v>
      </c>
      <c r="D18" s="784">
        <v>35000</v>
      </c>
      <c r="F18" s="646" t="s">
        <v>39</v>
      </c>
      <c r="G18" s="624">
        <f>G17*0.09</f>
        <v>5405.5409077551039</v>
      </c>
      <c r="H18" s="624">
        <f>H17*0.09</f>
        <v>73.663697142858155</v>
      </c>
      <c r="I18" s="647">
        <f>I17*0.09</f>
        <v>16030.171746000004</v>
      </c>
      <c r="L18" s="103" t="s">
        <v>498</v>
      </c>
      <c r="M18" s="104">
        <v>2024</v>
      </c>
      <c r="N18" s="81"/>
      <c r="O18" s="82"/>
      <c r="Q18" s="111" t="s">
        <v>195</v>
      </c>
      <c r="R18" s="112">
        <f>M22-M14</f>
        <v>528135.7919999999</v>
      </c>
      <c r="S18" s="89" t="s">
        <v>195</v>
      </c>
      <c r="T18" s="112">
        <f>O22-O14</f>
        <v>549767.02582733333</v>
      </c>
    </row>
    <row r="19" spans="1:20">
      <c r="A19" s="662" t="s">
        <v>40</v>
      </c>
      <c r="B19" s="213">
        <v>5000</v>
      </c>
      <c r="C19" s="214">
        <v>4315</v>
      </c>
      <c r="D19" s="784">
        <v>46000</v>
      </c>
      <c r="F19" s="622" t="s">
        <v>41</v>
      </c>
      <c r="G19" s="623">
        <f>$G$17-$G$18</f>
        <v>54656.024733968283</v>
      </c>
      <c r="H19" s="623">
        <f>$H$17-$H$18</f>
        <v>744.821826666677</v>
      </c>
      <c r="I19" s="678">
        <f>$I$17-$I$18</f>
        <v>162082.84765400004</v>
      </c>
      <c r="L19" s="105" t="s">
        <v>499</v>
      </c>
      <c r="M19" s="84">
        <f>D4+D9</f>
        <v>983222.58400000003</v>
      </c>
      <c r="N19" s="84" t="s">
        <v>500</v>
      </c>
      <c r="O19" s="85">
        <f>D15</f>
        <v>671082.84765400004</v>
      </c>
    </row>
    <row r="20" spans="1:20">
      <c r="A20" s="662" t="s">
        <v>43</v>
      </c>
      <c r="B20" s="788">
        <v>10000</v>
      </c>
      <c r="C20" s="789">
        <v>15000</v>
      </c>
      <c r="D20" s="785">
        <v>28000</v>
      </c>
      <c r="L20" s="105" t="s">
        <v>501</v>
      </c>
      <c r="M20" s="84">
        <f>D33-D27</f>
        <v>113840.20000000007</v>
      </c>
      <c r="N20" s="84" t="s">
        <v>502</v>
      </c>
      <c r="O20" s="85">
        <f>D34</f>
        <v>562327</v>
      </c>
    </row>
    <row r="21" spans="1:20" ht="15.75">
      <c r="A21" s="662" t="s">
        <v>45</v>
      </c>
      <c r="B21" s="649">
        <v>63956</v>
      </c>
      <c r="C21" s="649">
        <v>85677</v>
      </c>
      <c r="D21" s="670">
        <v>225000</v>
      </c>
      <c r="F21" s="242" t="s">
        <v>513</v>
      </c>
      <c r="G21" s="243"/>
      <c r="H21" s="241"/>
      <c r="I21" s="240"/>
      <c r="L21" s="105" t="s">
        <v>503</v>
      </c>
      <c r="M21" s="84">
        <f>D12</f>
        <v>52716</v>
      </c>
      <c r="N21" s="84"/>
      <c r="O21" s="85"/>
    </row>
    <row r="22" spans="1:20">
      <c r="A22" s="664" t="s">
        <v>46</v>
      </c>
      <c r="B22" s="790">
        <v>54655.838232386042</v>
      </c>
      <c r="C22" s="791">
        <v>744.82182666662243</v>
      </c>
      <c r="D22" s="792">
        <v>162082.84765400004</v>
      </c>
      <c r="F22" s="190" t="s">
        <v>514</v>
      </c>
      <c r="G22" s="130">
        <f>B22-B39</f>
        <v>54255.838232386042</v>
      </c>
      <c r="H22" s="130"/>
      <c r="I22" s="131"/>
      <c r="L22" s="106" t="s">
        <v>504</v>
      </c>
      <c r="M22" s="107">
        <f>SUM(M19:M21)</f>
        <v>1149778.784</v>
      </c>
      <c r="N22" s="107" t="s">
        <v>505</v>
      </c>
      <c r="O22" s="108">
        <f>SUM(O19:O20)</f>
        <v>1233409.8476539999</v>
      </c>
    </row>
    <row r="23" spans="1:20">
      <c r="A23" s="658" t="s">
        <v>49</v>
      </c>
      <c r="B23" s="209">
        <v>15200</v>
      </c>
      <c r="C23" s="210">
        <v>20100</v>
      </c>
      <c r="D23" s="782">
        <v>25250</v>
      </c>
      <c r="F23" s="190" t="s">
        <v>515</v>
      </c>
      <c r="G23" s="244">
        <f>G22/(B4-G22)</f>
        <v>0.14279326628355696</v>
      </c>
      <c r="H23" s="130"/>
      <c r="I23" s="131"/>
    </row>
    <row r="24" spans="1:20">
      <c r="A24" s="658" t="s">
        <v>51</v>
      </c>
      <c r="B24" s="209">
        <f>SUM(B25:B27)</f>
        <v>761710</v>
      </c>
      <c r="C24" s="210">
        <f>SUM(C25:C27)</f>
        <v>757939</v>
      </c>
      <c r="D24" s="782">
        <f>SUM(D25:D27)</f>
        <v>1051037</v>
      </c>
      <c r="F24" s="190" t="s">
        <v>62</v>
      </c>
      <c r="G24" s="244">
        <f>B22/B14</f>
        <v>5.2527346123699928E-2</v>
      </c>
      <c r="H24" s="130"/>
      <c r="I24" s="131"/>
    </row>
    <row r="25" spans="1:20">
      <c r="A25" s="660" t="s">
        <v>52</v>
      </c>
      <c r="B25" s="3">
        <v>0</v>
      </c>
      <c r="C25" s="4">
        <v>0</v>
      </c>
      <c r="D25" s="672">
        <v>0</v>
      </c>
      <c r="F25" s="190" t="s">
        <v>516</v>
      </c>
      <c r="G25" s="244">
        <f>B39/B22</f>
        <v>7.3185228318935931E-3</v>
      </c>
      <c r="H25" s="130"/>
      <c r="I25" s="131"/>
    </row>
    <row r="26" spans="1:20">
      <c r="A26" s="662" t="s">
        <v>54</v>
      </c>
      <c r="B26" s="213">
        <v>348004</v>
      </c>
      <c r="C26" s="214">
        <v>465500</v>
      </c>
      <c r="D26" s="784">
        <v>630000</v>
      </c>
      <c r="F26" s="245" t="s">
        <v>515</v>
      </c>
      <c r="G26" s="246">
        <f>G24*(1-G25)/(1-G24*(1-G25))</f>
        <v>5.5011377597806062E-2</v>
      </c>
      <c r="H26" s="196"/>
      <c r="I26" s="197"/>
      <c r="L26" s="184"/>
      <c r="M26" s="185">
        <v>2022</v>
      </c>
      <c r="N26" s="185" t="s">
        <v>517</v>
      </c>
      <c r="O26" s="186"/>
    </row>
    <row r="27" spans="1:20">
      <c r="A27" s="664" t="s">
        <v>56</v>
      </c>
      <c r="B27" s="215">
        <v>413706</v>
      </c>
      <c r="C27" s="216">
        <v>292439</v>
      </c>
      <c r="D27" s="785">
        <v>421037</v>
      </c>
      <c r="F27" s="48"/>
      <c r="G27" s="45"/>
      <c r="H27" s="44"/>
      <c r="I27" s="49"/>
      <c r="L27" s="187" t="s">
        <v>518</v>
      </c>
      <c r="M27" s="188"/>
      <c r="N27" s="188" t="s">
        <v>519</v>
      </c>
      <c r="O27" s="189"/>
    </row>
    <row r="28" spans="1:20">
      <c r="A28" s="658" t="s">
        <v>57</v>
      </c>
      <c r="B28" s="1">
        <v>0</v>
      </c>
      <c r="C28" s="2">
        <v>0</v>
      </c>
      <c r="D28" s="793">
        <v>0</v>
      </c>
      <c r="F28" s="50"/>
      <c r="G28" s="47"/>
      <c r="H28" s="46"/>
      <c r="I28" s="51"/>
      <c r="L28" s="190" t="s">
        <v>520</v>
      </c>
      <c r="M28" s="198">
        <f>G19</f>
        <v>54656.024733968283</v>
      </c>
      <c r="N28" s="191" t="s">
        <v>487</v>
      </c>
      <c r="O28" s="189">
        <f>B39</f>
        <v>400</v>
      </c>
    </row>
    <row r="29" spans="1:20">
      <c r="A29" s="674" t="s">
        <v>59</v>
      </c>
      <c r="B29" s="794">
        <f>SUM(B28,B24,B23,B15)</f>
        <v>1040521.838232386</v>
      </c>
      <c r="C29" s="795">
        <f>SUM(C28,C24,C23,C15)</f>
        <v>1015775.8218266666</v>
      </c>
      <c r="D29" s="796">
        <f>SUM(D28,D24,D23,D15)</f>
        <v>1747369.8476539999</v>
      </c>
      <c r="F29" s="184" t="s">
        <v>326</v>
      </c>
      <c r="G29" s="127">
        <f>M6*(1+G26)</f>
        <v>585762.99506530282</v>
      </c>
      <c r="H29" s="247" t="s">
        <v>521</v>
      </c>
      <c r="I29" s="128">
        <f>B15+G31-G32</f>
        <v>320852.36486865935</v>
      </c>
      <c r="L29" s="190" t="s">
        <v>522</v>
      </c>
      <c r="M29" s="191">
        <f>G9</f>
        <v>14243.552</v>
      </c>
      <c r="N29" s="191" t="s">
        <v>523</v>
      </c>
      <c r="O29" s="189">
        <f>B33</f>
        <v>226800</v>
      </c>
    </row>
    <row r="30" spans="1:20">
      <c r="F30" s="190"/>
      <c r="G30" s="130"/>
      <c r="H30" s="191" t="s">
        <v>524</v>
      </c>
      <c r="I30" s="131">
        <f>O4+B27</f>
        <v>725314</v>
      </c>
      <c r="L30" s="190"/>
      <c r="M30" s="191"/>
      <c r="N30" s="191" t="s">
        <v>525</v>
      </c>
      <c r="O30" s="189">
        <f>B26</f>
        <v>348004</v>
      </c>
    </row>
    <row r="31" spans="1:20">
      <c r="F31" s="190" t="s">
        <v>520</v>
      </c>
      <c r="G31" s="130">
        <f>B22*(1+G26)</f>
        <v>57662.531187312437</v>
      </c>
      <c r="H31" s="191"/>
      <c r="I31" s="131"/>
      <c r="L31" s="190"/>
      <c r="M31" s="191"/>
      <c r="N31" s="191" t="s">
        <v>526</v>
      </c>
      <c r="O31" s="189">
        <f>B27</f>
        <v>413706</v>
      </c>
    </row>
    <row r="32" spans="1:20">
      <c r="A32" s="135" t="s">
        <v>527</v>
      </c>
      <c r="F32" s="245" t="s">
        <v>487</v>
      </c>
      <c r="G32" s="196">
        <f>B39*(1+G26)</f>
        <v>422.00455103912242</v>
      </c>
      <c r="H32" s="248"/>
      <c r="I32" s="197"/>
      <c r="L32" s="190"/>
      <c r="M32" s="192"/>
      <c r="N32" s="191"/>
      <c r="O32" s="193"/>
    </row>
    <row r="33" spans="1:15">
      <c r="A33" s="136" t="s">
        <v>523</v>
      </c>
      <c r="B33" s="137">
        <f>B10*0.8</f>
        <v>226800</v>
      </c>
      <c r="C33" s="137">
        <f>C10*0.74</f>
        <v>233174</v>
      </c>
      <c r="D33" s="138">
        <f>D10*0.78</f>
        <v>534877.20000000007</v>
      </c>
      <c r="F33" s="48"/>
      <c r="G33" s="45"/>
      <c r="H33" s="44"/>
      <c r="I33" s="49"/>
      <c r="L33" s="187" t="s">
        <v>195</v>
      </c>
      <c r="M33" s="188">
        <f>SUM(M28:M29)</f>
        <v>68899.576733968279</v>
      </c>
      <c r="N33" s="194"/>
      <c r="O33" s="195">
        <f>SUM(O28:O31)</f>
        <v>988910</v>
      </c>
    </row>
    <row r="34" spans="1:15">
      <c r="A34" s="139" t="s">
        <v>528</v>
      </c>
      <c r="B34" s="140">
        <f>B26-B37</f>
        <v>311608</v>
      </c>
      <c r="C34" s="140">
        <f>C26-C37</f>
        <v>445906</v>
      </c>
      <c r="D34" s="141">
        <f>D26-D37</f>
        <v>562327</v>
      </c>
      <c r="F34" s="52"/>
      <c r="G34" s="47"/>
      <c r="H34" s="53"/>
      <c r="I34" s="51"/>
      <c r="L34" s="129"/>
      <c r="M34" s="130"/>
      <c r="N34" s="130"/>
      <c r="O34" s="131"/>
    </row>
    <row r="35" spans="1:15">
      <c r="A35" s="142" t="s">
        <v>529</v>
      </c>
      <c r="B35" s="143">
        <v>436528</v>
      </c>
      <c r="C35" s="143">
        <v>432579</v>
      </c>
      <c r="D35" s="144">
        <v>749796</v>
      </c>
      <c r="F35" s="249" t="s">
        <v>530</v>
      </c>
      <c r="G35" s="250">
        <f>G22/(C15-G22)</f>
        <v>0.29570278712020864</v>
      </c>
      <c r="H35" s="251"/>
      <c r="I35" s="141"/>
      <c r="L35" s="129"/>
      <c r="M35" s="130"/>
      <c r="N35" s="130"/>
      <c r="O35" s="131"/>
    </row>
    <row r="36" spans="1:15">
      <c r="A36" s="145"/>
      <c r="B36" s="146">
        <v>400132</v>
      </c>
      <c r="C36" s="146">
        <v>412985</v>
      </c>
      <c r="D36" s="147">
        <v>682123</v>
      </c>
      <c r="F36" s="54"/>
      <c r="G36" s="45"/>
      <c r="H36" s="55"/>
      <c r="I36" s="49"/>
      <c r="L36" s="132" t="s">
        <v>531</v>
      </c>
      <c r="M36" s="133">
        <f>M33-O33</f>
        <v>-920010.42326603178</v>
      </c>
      <c r="N36" s="196"/>
      <c r="O36" s="197"/>
    </row>
    <row r="37" spans="1:15">
      <c r="A37" s="148"/>
      <c r="B37" s="149">
        <f>B35-B36</f>
        <v>36396</v>
      </c>
      <c r="C37" s="149">
        <f>C35-C36</f>
        <v>19594</v>
      </c>
      <c r="D37" s="150">
        <f>D35-D36</f>
        <v>67673</v>
      </c>
      <c r="F37" s="52"/>
      <c r="G37" s="47"/>
      <c r="H37" s="53"/>
      <c r="I37" s="51"/>
    </row>
    <row r="38" spans="1:15">
      <c r="F38" s="252" t="s">
        <v>326</v>
      </c>
      <c r="G38" s="127">
        <f>M6*(1+G35)</f>
        <v>719399.58318376739</v>
      </c>
      <c r="H38" s="253" t="s">
        <v>521</v>
      </c>
      <c r="I38" s="128">
        <f>B15+G40-G41</f>
        <v>333911.27904763178</v>
      </c>
    </row>
    <row r="39" spans="1:15">
      <c r="A39" s="139" t="s">
        <v>487</v>
      </c>
      <c r="B39" s="140">
        <f>B19*0.08</f>
        <v>400</v>
      </c>
      <c r="C39" s="140">
        <f>C19*0.08</f>
        <v>345.2</v>
      </c>
      <c r="D39" s="141">
        <f>D19*0.08</f>
        <v>3680</v>
      </c>
      <c r="F39" s="254"/>
      <c r="G39" s="130"/>
      <c r="H39" s="255" t="s">
        <v>524</v>
      </c>
      <c r="I39" s="131">
        <f>(O4+B27)*(1+G35)</f>
        <v>939791.37133730703</v>
      </c>
    </row>
    <row r="40" spans="1:15">
      <c r="F40" s="254" t="s">
        <v>520</v>
      </c>
      <c r="G40" s="130">
        <f>B22*(1+G35)</f>
        <v>70817.72193009386</v>
      </c>
      <c r="H40" s="130"/>
      <c r="I40" s="131"/>
      <c r="L40" s="66"/>
      <c r="M40" s="151">
        <v>2023</v>
      </c>
      <c r="N40" s="151" t="s">
        <v>517</v>
      </c>
      <c r="O40" s="152"/>
    </row>
    <row r="41" spans="1:15">
      <c r="F41" s="190" t="s">
        <v>487</v>
      </c>
      <c r="G41" s="130">
        <f>B39*(1+G35)</f>
        <v>518.28111484808346</v>
      </c>
      <c r="H41" s="130"/>
      <c r="I41" s="131"/>
      <c r="L41" s="153" t="s">
        <v>518</v>
      </c>
      <c r="M41" s="154"/>
      <c r="N41" s="154" t="s">
        <v>519</v>
      </c>
      <c r="O41" s="155"/>
    </row>
    <row r="42" spans="1:15">
      <c r="F42" s="256"/>
      <c r="G42" s="196"/>
      <c r="H42" s="196"/>
      <c r="I42" s="257">
        <f>I39/G38</f>
        <v>1.3063551791039079</v>
      </c>
      <c r="L42" s="58" t="s">
        <v>520</v>
      </c>
      <c r="M42" s="68">
        <f>C22</f>
        <v>744.82182666662243</v>
      </c>
      <c r="N42" s="68" t="s">
        <v>487</v>
      </c>
      <c r="O42" s="155">
        <f>C39</f>
        <v>345.2</v>
      </c>
    </row>
    <row r="43" spans="1:15">
      <c r="L43" s="58" t="s">
        <v>522</v>
      </c>
      <c r="M43" s="68">
        <f>H9</f>
        <v>26412.40286108962</v>
      </c>
      <c r="N43" s="68" t="s">
        <v>523</v>
      </c>
      <c r="O43" s="155">
        <f>C33</f>
        <v>233174</v>
      </c>
    </row>
    <row r="44" spans="1:15" ht="15.75">
      <c r="F44" s="237" t="s">
        <v>532</v>
      </c>
      <c r="G44" s="238"/>
      <c r="H44" s="238"/>
      <c r="I44" s="239"/>
      <c r="L44" s="58"/>
      <c r="M44" s="68"/>
      <c r="N44" s="68" t="s">
        <v>525</v>
      </c>
      <c r="O44" s="155">
        <f>O12</f>
        <v>445906</v>
      </c>
    </row>
    <row r="45" spans="1:15">
      <c r="F45" s="58" t="s">
        <v>514</v>
      </c>
      <c r="G45" s="648">
        <f>C22-C39</f>
        <v>399.62182666662244</v>
      </c>
      <c r="H45" s="59"/>
      <c r="I45" s="60"/>
      <c r="L45" s="58"/>
      <c r="M45" s="68"/>
      <c r="N45" s="68" t="s">
        <v>526</v>
      </c>
      <c r="O45" s="155">
        <f>C27</f>
        <v>292439</v>
      </c>
    </row>
    <row r="46" spans="1:15">
      <c r="F46" s="58" t="s">
        <v>515</v>
      </c>
      <c r="G46" s="61">
        <f>G45/(C4-G45)</f>
        <v>9.0868913473192479E-4</v>
      </c>
      <c r="H46" s="59"/>
      <c r="I46" s="60"/>
      <c r="L46" s="58"/>
      <c r="M46" s="156"/>
      <c r="N46" s="68"/>
      <c r="O46" s="157"/>
    </row>
    <row r="47" spans="1:15">
      <c r="F47" s="58" t="s">
        <v>62</v>
      </c>
      <c r="G47" s="61">
        <f>C22/C14</f>
        <v>7.3325401715797038E-4</v>
      </c>
      <c r="H47" s="59"/>
      <c r="I47" s="60"/>
      <c r="L47" s="153" t="s">
        <v>195</v>
      </c>
      <c r="M47" s="154">
        <f>SUM(M42:M43)</f>
        <v>27157.224687756243</v>
      </c>
      <c r="N47" s="158"/>
      <c r="O47" s="159">
        <f>SUM(O42:O45)</f>
        <v>971864.2</v>
      </c>
    </row>
    <row r="48" spans="1:15">
      <c r="F48" s="58" t="s">
        <v>516</v>
      </c>
      <c r="G48" s="61">
        <f>C39/C22</f>
        <v>0.46346654681819544</v>
      </c>
      <c r="H48" s="59"/>
      <c r="I48" s="60"/>
      <c r="L48" s="115"/>
      <c r="M48" s="59"/>
      <c r="N48" s="59"/>
      <c r="O48" s="60"/>
    </row>
    <row r="49" spans="6:15">
      <c r="F49" s="62" t="s">
        <v>515</v>
      </c>
      <c r="G49" s="63">
        <f>G47*(1-G48)/(1-G47*(1-G48))</f>
        <v>3.9357014640630607E-4</v>
      </c>
      <c r="H49" s="64"/>
      <c r="I49" s="65"/>
      <c r="L49" s="115"/>
      <c r="M49" s="59"/>
      <c r="N49" s="59"/>
      <c r="O49" s="60"/>
    </row>
    <row r="50" spans="6:15">
      <c r="F50" s="48"/>
      <c r="G50" s="45"/>
      <c r="H50" s="44"/>
      <c r="I50" s="49"/>
      <c r="L50" s="116" t="s">
        <v>531</v>
      </c>
      <c r="M50" s="117">
        <f>M47-O47</f>
        <v>-944706.97531224368</v>
      </c>
      <c r="N50" s="64"/>
      <c r="O50" s="65"/>
    </row>
    <row r="51" spans="6:15">
      <c r="F51" s="50"/>
      <c r="G51" s="47"/>
      <c r="H51" s="46"/>
      <c r="I51" s="51"/>
    </row>
    <row r="52" spans="6:15">
      <c r="F52" s="66" t="s">
        <v>326</v>
      </c>
      <c r="G52" s="56">
        <f>M14*(1+G49)</f>
        <v>621887.65212337405</v>
      </c>
      <c r="H52" s="67" t="s">
        <v>521</v>
      </c>
      <c r="I52" s="57">
        <f>C15+G54-G55</f>
        <v>238136.60093255408</v>
      </c>
    </row>
    <row r="53" spans="6:15">
      <c r="F53" s="58"/>
      <c r="G53" s="59"/>
      <c r="H53" s="68" t="s">
        <v>524</v>
      </c>
      <c r="I53" s="60">
        <f>O12+C27</f>
        <v>738345</v>
      </c>
    </row>
    <row r="54" spans="6:15">
      <c r="F54" s="58" t="s">
        <v>520</v>
      </c>
      <c r="G54" s="59">
        <f>C22*(1+G49)</f>
        <v>745.11496630199031</v>
      </c>
      <c r="H54" s="68"/>
      <c r="I54" s="60"/>
      <c r="L54" s="91"/>
      <c r="M54" s="160">
        <v>2024</v>
      </c>
      <c r="N54" s="160" t="s">
        <v>517</v>
      </c>
      <c r="O54" s="161"/>
    </row>
    <row r="55" spans="6:15">
      <c r="F55" s="62" t="s">
        <v>487</v>
      </c>
      <c r="G55" s="64">
        <f>C39*(1+G49)</f>
        <v>345.33586041453947</v>
      </c>
      <c r="H55" s="69"/>
      <c r="I55" s="65"/>
      <c r="L55" s="162" t="s">
        <v>518</v>
      </c>
      <c r="M55" s="163"/>
      <c r="N55" s="163" t="s">
        <v>519</v>
      </c>
      <c r="O55" s="164"/>
    </row>
    <row r="56" spans="6:15">
      <c r="F56" s="48"/>
      <c r="G56" s="45"/>
      <c r="H56" s="44"/>
      <c r="I56" s="49"/>
      <c r="L56" s="83" t="s">
        <v>520</v>
      </c>
      <c r="M56" s="93">
        <f>D22</f>
        <v>162082.84765400004</v>
      </c>
      <c r="N56" s="93" t="s">
        <v>487</v>
      </c>
      <c r="O56" s="164">
        <f>D39</f>
        <v>3680</v>
      </c>
    </row>
    <row r="57" spans="6:15">
      <c r="F57" s="52"/>
      <c r="G57" s="47"/>
      <c r="H57" s="53"/>
      <c r="I57" s="51"/>
      <c r="L57" s="83" t="s">
        <v>522</v>
      </c>
      <c r="M57" s="165">
        <f>I9</f>
        <v>56380.492162455506</v>
      </c>
      <c r="N57" s="93" t="s">
        <v>523</v>
      </c>
      <c r="O57" s="164">
        <f>D33</f>
        <v>534877.20000000007</v>
      </c>
    </row>
    <row r="58" spans="6:15">
      <c r="F58" s="70" t="s">
        <v>530</v>
      </c>
      <c r="G58" s="71">
        <f>G45/(C15-G45)</f>
        <v>1.6837723992135342E-3</v>
      </c>
      <c r="H58" s="72"/>
      <c r="I58" s="73"/>
      <c r="L58" s="83"/>
      <c r="M58" s="93"/>
      <c r="N58" s="93" t="s">
        <v>525</v>
      </c>
      <c r="O58" s="164">
        <f>O20</f>
        <v>562327</v>
      </c>
    </row>
    <row r="59" spans="6:15">
      <c r="F59" s="54"/>
      <c r="G59" s="45"/>
      <c r="H59" s="55"/>
      <c r="I59" s="49"/>
      <c r="L59" s="83"/>
      <c r="M59" s="93"/>
      <c r="N59" s="93" t="s">
        <v>526</v>
      </c>
      <c r="O59" s="164">
        <f>D27</f>
        <v>421037</v>
      </c>
    </row>
    <row r="60" spans="6:15">
      <c r="F60" s="52"/>
      <c r="G60" s="47"/>
      <c r="H60" s="53"/>
      <c r="I60" s="51"/>
      <c r="L60" s="83"/>
      <c r="M60" s="165"/>
      <c r="N60" s="93"/>
      <c r="O60" s="166"/>
    </row>
    <row r="61" spans="6:15">
      <c r="F61" s="74" t="s">
        <v>326</v>
      </c>
      <c r="G61" s="56">
        <f>M14*(1+G58)</f>
        <v>622689.69731209427</v>
      </c>
      <c r="H61" s="75" t="s">
        <v>521</v>
      </c>
      <c r="I61" s="57">
        <f>C15+G63-G64</f>
        <v>238137.11652553509</v>
      </c>
      <c r="L61" s="162" t="s">
        <v>195</v>
      </c>
      <c r="M61" s="163">
        <f>SUM(M56:M57)</f>
        <v>218463.33981645555</v>
      </c>
      <c r="N61" s="167"/>
      <c r="O61" s="168">
        <f>SUM(O56:O59)</f>
        <v>1521921.2000000002</v>
      </c>
    </row>
    <row r="62" spans="6:15">
      <c r="F62" s="76"/>
      <c r="G62" s="59"/>
      <c r="H62" s="77" t="s">
        <v>524</v>
      </c>
      <c r="I62" s="60">
        <f>(O12+C27)*(1+G58)</f>
        <v>739588.20493209735</v>
      </c>
      <c r="L62" s="105"/>
      <c r="M62" s="84"/>
      <c r="N62" s="84"/>
      <c r="O62" s="85"/>
    </row>
    <row r="63" spans="6:15">
      <c r="F63" s="76" t="s">
        <v>520</v>
      </c>
      <c r="G63" s="59">
        <f>C22*(1+G58)</f>
        <v>746.07593710069557</v>
      </c>
      <c r="H63" s="59"/>
      <c r="I63" s="60"/>
      <c r="L63" s="105"/>
      <c r="M63" s="84"/>
      <c r="N63" s="84"/>
      <c r="O63" s="85"/>
    </row>
    <row r="64" spans="6:15">
      <c r="F64" s="58" t="s">
        <v>487</v>
      </c>
      <c r="G64" s="59">
        <f>C39*(1+G58)</f>
        <v>345.78123823220852</v>
      </c>
      <c r="H64" s="59"/>
      <c r="I64" s="60"/>
      <c r="L64" s="106" t="s">
        <v>531</v>
      </c>
      <c r="M64" s="107">
        <f>M61-O61</f>
        <v>-1303457.8601835447</v>
      </c>
      <c r="N64" s="89"/>
      <c r="O64" s="90"/>
    </row>
    <row r="65" spans="6:9">
      <c r="F65" s="78"/>
      <c r="G65" s="64"/>
      <c r="H65" s="64"/>
      <c r="I65" s="79">
        <f>I62/G61</f>
        <v>1.1877315589524089</v>
      </c>
    </row>
    <row r="67" spans="6:9" ht="15.75">
      <c r="F67" s="80" t="s">
        <v>533</v>
      </c>
      <c r="G67" s="81"/>
      <c r="H67" s="81"/>
      <c r="I67" s="82"/>
    </row>
    <row r="68" spans="6:9">
      <c r="F68" s="83" t="s">
        <v>514</v>
      </c>
      <c r="G68" s="84">
        <f>$D$22-$D$39</f>
        <v>158402.84765400004</v>
      </c>
      <c r="H68" s="84"/>
      <c r="I68" s="85"/>
    </row>
    <row r="69" spans="6:9">
      <c r="F69" s="83" t="s">
        <v>515</v>
      </c>
      <c r="G69" s="86">
        <f>$G$68/($D$4-$G$68)</f>
        <v>0.300295601486543</v>
      </c>
      <c r="H69" s="84"/>
      <c r="I69" s="85"/>
    </row>
    <row r="70" spans="6:9">
      <c r="F70" s="83" t="s">
        <v>62</v>
      </c>
      <c r="G70" s="86">
        <f>$D$22/$D$14</f>
        <v>9.2758194453040246E-2</v>
      </c>
      <c r="H70" s="84"/>
      <c r="I70" s="85"/>
    </row>
    <row r="71" spans="6:9">
      <c r="F71" s="83" t="s">
        <v>516</v>
      </c>
      <c r="G71" s="86">
        <f>$D$39/$D$22</f>
        <v>2.2704438213324921E-2</v>
      </c>
      <c r="H71" s="84"/>
      <c r="I71" s="85"/>
    </row>
    <row r="72" spans="6:9">
      <c r="F72" s="87" t="s">
        <v>515</v>
      </c>
      <c r="G72" s="88">
        <f>$G$70*(1-$G$71)/(1-$G$70*(1-$G$71))</f>
        <v>9.9689215658638933E-2</v>
      </c>
      <c r="H72" s="89"/>
      <c r="I72" s="90"/>
    </row>
    <row r="73" spans="6:9">
      <c r="F73" s="48"/>
      <c r="G73" s="45"/>
      <c r="H73" s="45"/>
      <c r="I73" s="49"/>
    </row>
    <row r="74" spans="6:9">
      <c r="F74" s="50"/>
      <c r="G74" s="47"/>
      <c r="H74" s="47"/>
      <c r="I74" s="51"/>
    </row>
    <row r="75" spans="6:9">
      <c r="F75" s="91" t="s">
        <v>326</v>
      </c>
      <c r="G75" s="81">
        <f>M22*(1+G72)</f>
        <v>1264399.3291579036</v>
      </c>
      <c r="H75" s="92" t="s">
        <v>521</v>
      </c>
      <c r="I75" s="82">
        <f>D15+G77-G78</f>
        <v>845276.75094872213</v>
      </c>
    </row>
    <row r="76" spans="6:9">
      <c r="F76" s="83"/>
      <c r="G76" s="84"/>
      <c r="H76" s="93" t="s">
        <v>524</v>
      </c>
      <c r="I76" s="85">
        <f>O20+D27</f>
        <v>983364</v>
      </c>
    </row>
    <row r="77" spans="6:9">
      <c r="F77" s="83" t="s">
        <v>520</v>
      </c>
      <c r="G77" s="84">
        <f>D22*(1+G72)</f>
        <v>178240.75960834595</v>
      </c>
      <c r="H77" s="84"/>
      <c r="I77" s="85"/>
    </row>
    <row r="78" spans="6:9">
      <c r="F78" s="87" t="s">
        <v>487</v>
      </c>
      <c r="G78" s="89">
        <f>D39*(1+G72)</f>
        <v>4046.8563136237908</v>
      </c>
      <c r="H78" s="89"/>
      <c r="I78" s="90"/>
    </row>
    <row r="79" spans="6:9">
      <c r="F79" s="48"/>
      <c r="G79" s="45"/>
      <c r="H79" s="45"/>
      <c r="I79" s="49"/>
    </row>
    <row r="80" spans="6:9">
      <c r="F80" s="52"/>
      <c r="G80" s="47"/>
      <c r="H80" s="47"/>
      <c r="I80" s="51"/>
    </row>
    <row r="81" spans="6:9">
      <c r="F81" s="94" t="s">
        <v>530</v>
      </c>
      <c r="G81" s="95">
        <f>G68/(D15-G68)</f>
        <v>0.30897021076304915</v>
      </c>
      <c r="H81" s="96"/>
      <c r="I81" s="102"/>
    </row>
    <row r="82" spans="6:9">
      <c r="F82" s="54"/>
      <c r="G82" s="45"/>
      <c r="H82" s="45"/>
      <c r="I82" s="49"/>
    </row>
    <row r="83" spans="6:9">
      <c r="F83" s="52"/>
      <c r="G83" s="47"/>
      <c r="H83" s="47"/>
      <c r="I83" s="51"/>
    </row>
    <row r="84" spans="6:9">
      <c r="F84" s="97" t="s">
        <v>326</v>
      </c>
      <c r="G84" s="81">
        <f>M22*(1+G81)</f>
        <v>1505026.1772233625</v>
      </c>
      <c r="H84" s="98" t="s">
        <v>521</v>
      </c>
      <c r="I84" s="82">
        <f>D15+G86-G87</f>
        <v>878427.45653312374</v>
      </c>
    </row>
    <row r="85" spans="6:9">
      <c r="F85" s="99"/>
      <c r="G85" s="84"/>
      <c r="H85" s="100" t="s">
        <v>524</v>
      </c>
      <c r="I85" s="85">
        <f>(O20+D27)*(1+G81)</f>
        <v>1287194.1823367951</v>
      </c>
    </row>
    <row r="86" spans="6:9">
      <c r="F86" s="99" t="s">
        <v>520</v>
      </c>
      <c r="G86" s="84">
        <f>D22*(1+G81)</f>
        <v>212161.61925473163</v>
      </c>
      <c r="H86" s="84"/>
      <c r="I86" s="85"/>
    </row>
    <row r="87" spans="6:9">
      <c r="F87" s="87" t="s">
        <v>487</v>
      </c>
      <c r="G87" s="89">
        <f>D39*(1+G81)</f>
        <v>4817.0103756080207</v>
      </c>
      <c r="H87" s="89"/>
      <c r="I87" s="101">
        <f>I85/G84</f>
        <v>0.8552636504379959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4 F A A B Q S w M E F A A C A A g A i b N 9 W y E N 4 y 6 l A A A A 9 w A A A B I A H A B D b 2 5 m a W c v U G F j a 2 F n Z S 5 4 b W w g o h g A K K A U A A A A A A A A A A A A A A A A A A A A A A A A A A A A h Y + x D o I w G I R 3 E 9 + B d K c t 1 c G Q n z K 4 S m J C N K 4 N N N A I r a H F 8 m 4 O P p K v I E R R N 8 e 7 + 5 K 7 e 9 z u k A 5 t E 1 x l Z 5 X R C Y o w R Y F 1 Q p e i M V o m S B u U 8 u U C 9 q I 4 i 0 o G I 6 1 t P N g y Q b V z l 5 g Q 7 z 3 2 K 2 y 6 i j B K I 3 L K d n l R y 1 a g D 6 z + w 6 H S U 2 0 h E Y f j a w 1 n O F p v M K P j K C C z C Z n S X 4 C N 2 Z T + m L D t G 9 d 3 k k s d H n I g s w T y / s C f U E s D B B Q A A g A I A I m z f V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J s 3 1 b 9 x t H L S A C A A C 2 B w A A E w A c A E Z v c m 1 1 b G F z L 1 N l Y 3 R p b 2 4 x L m 0 g o h g A K K A U A A A A A A A A A A A A A A A A A A A A A A A A A A A A x V T L j t o w F N 0 j 8 Q 9 W u g E p E + G k t E M r F h U z I 8 1 m h D R U X R C E D L l Q K 3 6 g 2 K E 8 x M e w Z D G r S v 0 B / 1 g d X k P V u u 0 U p G Z j 6 V z n + j y u r W C o q R T o c b f i 9 6 W S + k w y S N A r r 0 M G D G o 1 j C p t M g a E q x 5 q I g a 6 X E L 2 u 5 N Z Z t b K Q u 1 k F G z 3 q s o d Z R C 0 p N A g t K p 4 r X f x R w W Z i v k w p S y + k c O c F 5 X 4 d j w H D T y O A j Q y G 2 Y 2 0 / h B T o n W k J G Y Q 8 Z g 3 O d U a B J M k p F X 9 V H 3 n k 8 Y F D + T g m f T w 0 H k 9 a r + j s u R a f N A a 9 m 9 T 5 p H B V 5 v 1 b 0 h m v T 2 + 6 0 2 8 z T J F e L m a y K V e d J T U o j b 7 g 8 6 G R F q J D P e k i z n o j O f W G W H V v 5 y 6 e 1 w 7 P l I 2 x r S M N M r H x 3 w 0 I F H D v y 1 A 6 / / g K + q 5 R I V v 6 H / n F y R 1 s 6 M 8 8 L 6 I p g k i Y o p t w 3 7 Y S 2 s X 2 F 8 V W v 0 c Q N H G E f 1 6 7 9 L p + D z U z R 7 k h d I Z t v e X 7 7 A o O N o h / v R D i 8 w 2 g e 3 w J 5 g n Z i n l O c 6 s t L U P 0 x y 6 J j k 8 H K T H L o m + c 9 G l k v l E y v N N 3 t d 1 U K b j a J I m / W A m X X q 8 P N 2 N g Q W f J J Z O p A y P e e 5 a J u N W O T j O e J E Q x p H / Q / 2 7 F M m a m H W 3 B K 2 B 8 s U m T X T x B I T U i F b R m o C Q 2 p B q h A o 2 5 s G M 6 a K e E T O m H U j y 6 F 6 Y v G v J G L v N K Q H w q H p M u P 8 0 N w k / t e D 9 I y / c e B v H f i 1 A 2 8 4 c F x z F V y K s U s y d m n G L t H Y p R q 7 Z G O X b u w S j h s v v I D f A V B L A Q I t A B Q A A g A I A I m z f V s h D e M u p Q A A A P c A A A A S A A A A A A A A A A A A A A A A A A A A A A B D b 2 5 m a W c v U G F j a 2 F n Z S 5 4 b W x Q S w E C L Q A U A A I A C A C J s 3 1 b U 3 I 4 L J s A A A D h A A A A E w A A A A A A A A A A A A A A A A D x A A A A W 0 N v b n R l b n R f V H l w Z X N d L n h t b F B L A Q I t A B Q A A g A I A I m z f V v 3 G 0 c t I A I A A L Y H A A A T A A A A A A A A A A A A A A A A A N k B A A B G b 3 J t d W x h c y 9 T Z W N 0 a W 9 u M S 5 t U E s F B g A A A A A D A A M A w g A A A E Y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w s A A A A A A A A C i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w O F Q x O T o x N D o z N C 4 5 N D M w M D I 3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M m M 3 Z D A 1 M y 0 x N z J j L T R k N G Y t O D M y M y 0 0 Y 2 E 3 N m F j M W Q y Y z I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f D o W z D o X M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h Z 2 U w M D E 8 L 0 l 0 Z W 1 Q Y X R o P j w v S X R l b U x v Y 2 F 0 a W 9 u P j x T d G F i b G V F b n R y a W V z P j x F b n R y e S B U e X B l P S J C d W Z m Z X J O Z X h 0 U m V m c m V z a C I g V m F s d W U 9 I m w x I i A v P j x F b n R y e S B U e X B l P S J G a W x s Q 2 9 1 b n Q i I F Z h b H V l P S J s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w O V Q x O D o x M z o 0 N y 4 y M z c z M T M 4 W i I g L z 4 8 R W 5 0 c n k g V H l w Z T 0 i R m l s b F N 0 Y X R 1 c y I g V m F s d W U 9 I n N X Y W l 0 a W 5 n R m 9 y R X h j Z W x S Z W Z y Z X N o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Z l Z T E z Y W U 3 L W Q 0 O G U t N D k 5 N y 1 i Z W Y 5 L T I y M G Q 2 Y z U x O T Z j O C I g L z 4 8 R W 5 0 c n k g V H l w Z T 0 i U m V z d W x 0 V H l w Z S I g V m F s d W U 9 I n N U Y W J s Z S I g L z 4 8 R W 5 0 c n k g V H l w Z T 0 i T m F 2 a W d h d G l v b l N 0 Z X B O Y W 1 l I i B W Y W x 1 Z T 0 i c 0 5 h d m l n w 6 F s w 6 F z I i A v P j x F b n R y e S B U e X B l P S J G a W x s T 2 J q Z W N 0 V H l w Z S I g V m F s d W U 9 I n N U Y W J s Z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D l U M T g 6 M T k 6 M D M u N D g y N j c y N F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h i M j M 0 Z j E t Z m E 2 M S 0 0 M T g z L W F i N D E t Y z Y 1 N j d m O G Z h Z D A 2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D A y I C h Q Y W d l I D I p L 0 F 1 d G 9 S Z W 1 v d m V k Q 2 9 s d W 1 u c z E u e 0 N v b H V t b j E s M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C V D M y V C N n J s Z X N 6 d C V D M y V B O X N p J T I w d C V D M y V B M W J s J U M z J U E x a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m N D g y N j g 2 L W F i Y j k t N D B h M i 1 h M j Y x L T F h M z B l O D h j Y j k 4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y O V Q y M T o y O D o w M C 4 2 O T Q 3 M D U 3 W i I g L z 4 8 R W 5 0 c n k g V H l w Z T 0 i R m l s b E N v b H V t b l R 5 c G V z I i B W Y W x 1 Z T 0 i c 0 J n W U d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M O 2 c m x l c 3 p 0 w 6 l z a S B 0 w 6 F i b M O h a y 9 B d X R v U m V t b 3 Z l Z E N v b H V t b n M x L n t D b 2 x 1 b W 4 x L D B 9 J n F 1 b 3 Q 7 L C Z x d W 9 0 O 1 N l Y 3 R p b 2 4 x L 1 T D t n J s Z X N 6 d M O p c 2 k g d M O h Y m z D o W s v Q X V 0 b 1 J l b W 9 2 Z W R D b 2 x 1 b W 5 z M S 5 7 Q 2 9 s d W 1 u M i w x f S Z x d W 9 0 O y w m c X V v d D t T Z W N 0 a W 9 u M S 9 U w 7 Z y b G V z e n T D q X N p I H T D o W J s w 6 F r L 0 F 1 d G 9 S Z W 1 v d m V k Q 2 9 s d W 1 u c z E u e 0 N v b H V t b j M s M n 0 m c X V v d D s s J n F 1 b 3 Q 7 U 2 V j d G l v b j E v V M O 2 c m x l c 3 p 0 w 6 l z a S B 0 w 6 F i b M O h a y 9 B d X R v U m V t b 3 Z l Z E N v b H V t b n M x L n t D b 2 x 1 b W 4 0 L D N 9 J n F 1 b 3 Q 7 L C Z x d W 9 0 O 1 N l Y 3 R p b 2 4 x L 1 T D t n J s Z X N 6 d M O p c 2 k g d M O h Y m z D o W s v Q X V 0 b 1 J l b W 9 2 Z W R D b 2 x 1 b W 5 z M S 5 7 Q 2 9 s d W 1 u N S w 0 f S Z x d W 9 0 O y w m c X V v d D t T Z W N 0 a W 9 u M S 9 U w 7 Z y b G V z e n T D q X N p I H T D o W J s w 6 F r L 0 F 1 d G 9 S Z W 1 v d m V k Q 2 9 s d W 1 u c z E u e 0 N v b H V t b j Y s N X 0 m c X V v d D s s J n F 1 b 3 Q 7 U 2 V j d G l v b j E v V M O 2 c m x l c 3 p 0 w 6 l z a S B 0 w 6 F i b M O h a y 9 B d X R v U m V t b 3 Z l Z E N v b H V t b n M x L n t D b 2 x 1 b W 4 3 L D Z 9 J n F 1 b 3 Q 7 L C Z x d W 9 0 O 1 N l Y 3 R p b 2 4 x L 1 T D t n J s Z X N 6 d M O p c 2 k g d M O h Y m z D o W s v Q X V 0 b 1 J l b W 9 2 Z W R D b 2 x 1 b W 5 z M S 5 7 Q 2 9 s d W 1 u O C w 3 f S Z x d W 9 0 O y w m c X V v d D t T Z W N 0 a W 9 u M S 9 U w 7 Z y b G V z e n T D q X N p I H T D o W J s w 6 F r L 0 F 1 d G 9 S Z W 1 v d m V k Q 2 9 s d W 1 u c z E u e 0 N v b H V t b j k s O H 0 m c X V v d D s s J n F 1 b 3 Q 7 U 2 V j d G l v b j E v V M O 2 c m x l c 3 p 0 w 6 l z a S B 0 w 6 F i b M O h a y 9 B d X R v U m V t b 3 Z l Z E N v b H V t b n M x L n t D b 2 x 1 b W 4 x M C w 5 f S Z x d W 9 0 O y w m c X V v d D t T Z W N 0 a W 9 u M S 9 U w 7 Z y b G V z e n T D q X N p I H T D o W J s w 6 F r L 0 F 1 d G 9 S Z W 1 v d m V k Q 2 9 s d W 1 u c z E u e 0 N v b H V t b j E x L D E w f S Z x d W 9 0 O y w m c X V v d D t T Z W N 0 a W 9 u M S 9 U w 7 Z y b G V z e n T D q X N p I H T D o W J s w 6 F r L 0 F 1 d G 9 S Z W 1 v d m V k Q 2 9 s d W 1 u c z E u e 0 N v b H V t b j E y L D E x f S Z x d W 9 0 O y w m c X V v d D t T Z W N 0 a W 9 u M S 9 U w 7 Z y b G V z e n T D q X N p I H T D o W J s w 6 F r L 0 F 1 d G 9 S Z W 1 v d m V k Q 2 9 s d W 1 u c z E u e 0 N v b H V t b j E z L D E y f S Z x d W 9 0 O y w m c X V v d D t T Z W N 0 a W 9 u M S 9 U w 7 Z y b G V z e n T D q X N p I H T D o W J s w 6 F r L 0 F 1 d G 9 S Z W 1 v d m V k Q 2 9 s d W 1 u c z E u e 0 N v b H V t b j E 0 L D E z f S Z x d W 9 0 O y w m c X V v d D t T Z W N 0 a W 9 u M S 9 U w 7 Z y b G V z e n T D q X N p I H T D o W J s w 6 F r L 0 F 1 d G 9 S Z W 1 v d m V k Q 2 9 s d W 1 u c z E u e 0 N v b H V t b j E 1 L D E 0 f S Z x d W 9 0 O y w m c X V v d D t T Z W N 0 a W 9 u M S 9 U w 7 Z y b G V z e n T D q X N p I H T D o W J s w 6 F r L 0 F 1 d G 9 S Z W 1 v d m V k Q 2 9 s d W 1 u c z E u e 0 N v b H V t b j E 2 L D E 1 f S Z x d W 9 0 O y w m c X V v d D t T Z W N 0 a W 9 u M S 9 U w 7 Z y b G V z e n T D q X N p I H T D o W J s w 6 F r L 0 F 1 d G 9 S Z W 1 v d m V k Q 2 9 s d W 1 u c z E u e 0 N v b H V t b j E 3 L D E 2 f S Z x d W 9 0 O y w m c X V v d D t T Z W N 0 a W 9 u M S 9 U w 7 Z y b G V z e n T D q X N p I H T D o W J s w 6 F r L 0 F 1 d G 9 S Z W 1 v d m V k Q 2 9 s d W 1 u c z E u e 0 N v b H V t b j E 4 L D E 3 f S Z x d W 9 0 O y w m c X V v d D t T Z W N 0 a W 9 u M S 9 U w 7 Z y b G V z e n T D q X N p I H T D o W J s w 6 F r L 0 F 1 d G 9 S Z W 1 v d m V k Q 2 9 s d W 1 u c z E u e 0 N v b H V t b j E 5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V M O 2 c m x l c 3 p 0 w 6 l z a S B 0 w 6 F i b M O h a y 9 B d X R v U m V t b 3 Z l Z E N v b H V t b n M x L n t D b 2 x 1 b W 4 x L D B 9 J n F 1 b 3 Q 7 L C Z x d W 9 0 O 1 N l Y 3 R p b 2 4 x L 1 T D t n J s Z X N 6 d M O p c 2 k g d M O h Y m z D o W s v Q X V 0 b 1 J l b W 9 2 Z W R D b 2 x 1 b W 5 z M S 5 7 Q 2 9 s d W 1 u M i w x f S Z x d W 9 0 O y w m c X V v d D t T Z W N 0 a W 9 u M S 9 U w 7 Z y b G V z e n T D q X N p I H T D o W J s w 6 F r L 0 F 1 d G 9 S Z W 1 v d m V k Q 2 9 s d W 1 u c z E u e 0 N v b H V t b j M s M n 0 m c X V v d D s s J n F 1 b 3 Q 7 U 2 V j d G l v b j E v V M O 2 c m x l c 3 p 0 w 6 l z a S B 0 w 6 F i b M O h a y 9 B d X R v U m V t b 3 Z l Z E N v b H V t b n M x L n t D b 2 x 1 b W 4 0 L D N 9 J n F 1 b 3 Q 7 L C Z x d W 9 0 O 1 N l Y 3 R p b 2 4 x L 1 T D t n J s Z X N 6 d M O p c 2 k g d M O h Y m z D o W s v Q X V 0 b 1 J l b W 9 2 Z W R D b 2 x 1 b W 5 z M S 5 7 Q 2 9 s d W 1 u N S w 0 f S Z x d W 9 0 O y w m c X V v d D t T Z W N 0 a W 9 u M S 9 U w 7 Z y b G V z e n T D q X N p I H T D o W J s w 6 F r L 0 F 1 d G 9 S Z W 1 v d m V k Q 2 9 s d W 1 u c z E u e 0 N v b H V t b j Y s N X 0 m c X V v d D s s J n F 1 b 3 Q 7 U 2 V j d G l v b j E v V M O 2 c m x l c 3 p 0 w 6 l z a S B 0 w 6 F i b M O h a y 9 B d X R v U m V t b 3 Z l Z E N v b H V t b n M x L n t D b 2 x 1 b W 4 3 L D Z 9 J n F 1 b 3 Q 7 L C Z x d W 9 0 O 1 N l Y 3 R p b 2 4 x L 1 T D t n J s Z X N 6 d M O p c 2 k g d M O h Y m z D o W s v Q X V 0 b 1 J l b W 9 2 Z W R D b 2 x 1 b W 5 z M S 5 7 Q 2 9 s d W 1 u O C w 3 f S Z x d W 9 0 O y w m c X V v d D t T Z W N 0 a W 9 u M S 9 U w 7 Z y b G V z e n T D q X N p I H T D o W J s w 6 F r L 0 F 1 d G 9 S Z W 1 v d m V k Q 2 9 s d W 1 u c z E u e 0 N v b H V t b j k s O H 0 m c X V v d D s s J n F 1 b 3 Q 7 U 2 V j d G l v b j E v V M O 2 c m x l c 3 p 0 w 6 l z a S B 0 w 6 F i b M O h a y 9 B d X R v U m V t b 3 Z l Z E N v b H V t b n M x L n t D b 2 x 1 b W 4 x M C w 5 f S Z x d W 9 0 O y w m c X V v d D t T Z W N 0 a W 9 u M S 9 U w 7 Z y b G V z e n T D q X N p I H T D o W J s w 6 F r L 0 F 1 d G 9 S Z W 1 v d m V k Q 2 9 s d W 1 u c z E u e 0 N v b H V t b j E x L D E w f S Z x d W 9 0 O y w m c X V v d D t T Z W N 0 a W 9 u M S 9 U w 7 Z y b G V z e n T D q X N p I H T D o W J s w 6 F r L 0 F 1 d G 9 S Z W 1 v d m V k Q 2 9 s d W 1 u c z E u e 0 N v b H V t b j E y L D E x f S Z x d W 9 0 O y w m c X V v d D t T Z W N 0 a W 9 u M S 9 U w 7 Z y b G V z e n T D q X N p I H T D o W J s w 6 F r L 0 F 1 d G 9 S Z W 1 v d m V k Q 2 9 s d W 1 u c z E u e 0 N v b H V t b j E z L D E y f S Z x d W 9 0 O y w m c X V v d D t T Z W N 0 a W 9 u M S 9 U w 7 Z y b G V z e n T D q X N p I H T D o W J s w 6 F r L 0 F 1 d G 9 S Z W 1 v d m V k Q 2 9 s d W 1 u c z E u e 0 N v b H V t b j E 0 L D E z f S Z x d W 9 0 O y w m c X V v d D t T Z W N 0 a W 9 u M S 9 U w 7 Z y b G V z e n T D q X N p I H T D o W J s w 6 F r L 0 F 1 d G 9 S Z W 1 v d m V k Q 2 9 s d W 1 u c z E u e 0 N v b H V t b j E 1 L D E 0 f S Z x d W 9 0 O y w m c X V v d D t T Z W N 0 a W 9 u M S 9 U w 7 Z y b G V z e n T D q X N p I H T D o W J s w 6 F r L 0 F 1 d G 9 S Z W 1 v d m V k Q 2 9 s d W 1 u c z E u e 0 N v b H V t b j E 2 L D E 1 f S Z x d W 9 0 O y w m c X V v d D t T Z W N 0 a W 9 u M S 9 U w 7 Z y b G V z e n T D q X N p I H T D o W J s w 6 F r L 0 F 1 d G 9 S Z W 1 v d m V k Q 2 9 s d W 1 u c z E u e 0 N v b H V t b j E 3 L D E 2 f S Z x d W 9 0 O y w m c X V v d D t T Z W N 0 a W 9 u M S 9 U w 7 Z y b G V z e n T D q X N p I H T D o W J s w 6 F r L 0 F 1 d G 9 S Z W 1 v d m V k Q 2 9 s d W 1 u c z E u e 0 N v b H V t b j E 4 L D E 3 f S Z x d W 9 0 O y w m c X V v d D t T Z W N 0 a W 9 u M S 9 U w 7 Z y b G V z e n T D q X N p I H T D o W J s w 6 F r L 0 F 1 d G 9 S Z W 1 v d m V k Q 2 9 s d W 1 u c z E u e 0 N v b H V t b j E 5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C V D M y V C N n J s Z X N 6 d C V D M y V B O X N p J T I w d C V D M y V B M W J s J U M z J U E x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l Q z M l Q j Z y b G V z e n Q l Q z M l Q T l z a S U y M H Q l Q z M l Q T F i b C V D M y V B M W s v V C V D M y V C N n J s Z X N 6 d C V D M y V B O X N p J T I w d C V D M y V B M W J s J U M z J U E x a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J U M z J U I 2 c m x l c 3 p 0 J U M z J U E 5 c 2 k l M j B 0 J U M z J U E x Y m w l Q z M l Q T F r L 1 Q l Q z M l Q U R w d X M l M j B t J U M z J U I z Z G 9 z J U M z J U F E d H Z h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g s o k K w 3 j t M r o 9 V h w h 8 d n 0 A A A A A A g A A A A A A E G Y A A A A B A A A g A A A A 8 Z Q 1 w D b a C M 0 z z e k e G Y L E F 5 N D A 7 I U K m s u / F j 7 5 v L J M 9 w A A A A A D o A A A A A C A A A g A A A A J B / S a x 6 s x h K 9 L f p c i M P S G c / D F h J 0 9 G g 7 O e r 4 G J k k 7 s R Q A A A A X x M m W M 5 E v H 2 Y Z B j B 1 T e h O W a S 0 i X 6 a + z u e b / y c C 0 D q Y N 7 Q x R F f Y H 9 R u b L l Y y P C E 9 / k t 9 Y U c y X o B k 5 k r c H c v o 7 8 e D L p 4 2 3 9 A V U 3 N P d V E Z A / g l A A A A A q 3 o Y l o Z h J k l c P f Q 3 K f V B n F + v v F o I 7 3 n E V l r u o 6 n w Q A K 1 p o i j C O w v X F c C C z d G E 0 v s m H j O q Z D B x 4 6 + P k y R i b j Z H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E4EBD08B978A947A7A742027E17D0B0" ma:contentTypeVersion="3" ma:contentTypeDescription="Új dokumentum létrehozása." ma:contentTypeScope="" ma:versionID="e54eff4719f2a9148592f13a5a4f9ae6">
  <xsd:schema xmlns:xsd="http://www.w3.org/2001/XMLSchema" xmlns:xs="http://www.w3.org/2001/XMLSchema" xmlns:p="http://schemas.microsoft.com/office/2006/metadata/properties" xmlns:ns2="2771d91b-2bb7-4f82-b984-f497a3931447" targetNamespace="http://schemas.microsoft.com/office/2006/metadata/properties" ma:root="true" ma:fieldsID="ec6df745cc42d5d8e94841183f7cf54e" ns2:_="">
    <xsd:import namespace="2771d91b-2bb7-4f82-b984-f497a39314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1d91b-2bb7-4f82-b984-f497a39314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6A1C1A-599A-46D2-BB90-589D8D4ACC0F}"/>
</file>

<file path=customXml/itemProps2.xml><?xml version="1.0" encoding="utf-8"?>
<ds:datastoreItem xmlns:ds="http://schemas.openxmlformats.org/officeDocument/2006/customXml" ds:itemID="{9BE01515-F7C3-4403-8C01-8BD570A2E332}"/>
</file>

<file path=customXml/itemProps3.xml><?xml version="1.0" encoding="utf-8"?>
<ds:datastoreItem xmlns:ds="http://schemas.openxmlformats.org/officeDocument/2006/customXml" ds:itemID="{AA1334AA-70FF-4BA2-94A1-843C056885D6}"/>
</file>

<file path=customXml/itemProps4.xml><?xml version="1.0" encoding="utf-8"?>
<ds:datastoreItem xmlns:ds="http://schemas.openxmlformats.org/officeDocument/2006/customXml" ds:itemID="{4408A2CE-AA8B-4580-A1A5-5358D1D767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Ignácz Péter</dc:creator>
  <cp:keywords/>
  <dc:description/>
  <cp:lastModifiedBy>Lutor Barna</cp:lastModifiedBy>
  <cp:revision/>
  <dcterms:created xsi:type="dcterms:W3CDTF">2025-11-08T19:13:49Z</dcterms:created>
  <dcterms:modified xsi:type="dcterms:W3CDTF">2025-11-30T16:06:14Z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0x0101008E4EBD08B978A947A7A742027E17D0B0</vt:lpwstr>
  </property>
</Properties>
</file>